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tr595_kirken_no/Documents/Dokumenter/"/>
    </mc:Choice>
  </mc:AlternateContent>
  <xr:revisionPtr revIDLastSave="563" documentId="8_{2D4BD3E1-5B58-470F-AF52-8156C9C43137}" xr6:coauthVersionLast="47" xr6:coauthVersionMax="47" xr10:uidLastSave="{8761E520-BA83-48BD-9446-389596D034D3}"/>
  <bookViews>
    <workbookView xWindow="-120" yWindow="-120" windowWidth="29040" windowHeight="15840" activeTab="5" xr2:uid="{242AE207-76EE-C84C-8EFB-688BB967B202}"/>
  </bookViews>
  <sheets>
    <sheet name="Bokføring" sheetId="1" r:id="rId1"/>
    <sheet name="Driftsregnskap" sheetId="2" r:id="rId2"/>
    <sheet name="Balansen" sheetId="3" r:id="rId3"/>
    <sheet name="Noter" sheetId="4" r:id="rId4"/>
    <sheet name="Aktivitetsregnskap Drift" sheetId="5" r:id="rId5"/>
    <sheet name="Aktivitetsregnskap Balanse" sheetId="6" r:id="rId6"/>
    <sheet name="Ark1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5" l="1"/>
  <c r="D34" i="6"/>
  <c r="D39" i="6"/>
  <c r="D30" i="6"/>
  <c r="C30" i="6"/>
  <c r="D22" i="6"/>
  <c r="C22" i="6"/>
  <c r="C23" i="6" s="1"/>
  <c r="D13" i="5"/>
  <c r="D61" i="5"/>
  <c r="C61" i="5"/>
  <c r="D42" i="5"/>
  <c r="D44" i="5"/>
  <c r="D49" i="5" s="1"/>
  <c r="D63" i="5" s="1"/>
  <c r="D37" i="5"/>
  <c r="C37" i="5"/>
  <c r="D30" i="4"/>
  <c r="C21" i="3"/>
  <c r="D20" i="5"/>
  <c r="D27" i="5"/>
  <c r="C27" i="5"/>
  <c r="C20" i="5"/>
  <c r="C13" i="5"/>
  <c r="D37" i="4"/>
  <c r="D24" i="4"/>
  <c r="D21" i="4"/>
  <c r="D22" i="4"/>
  <c r="C30" i="2"/>
  <c r="C9" i="2"/>
  <c r="C16" i="2"/>
  <c r="C13" i="7"/>
  <c r="J16" i="7"/>
  <c r="R34" i="1"/>
  <c r="R6" i="1" s="1"/>
  <c r="T34" i="1"/>
  <c r="AC6" i="1"/>
  <c r="AC34" i="1"/>
  <c r="U34" i="1"/>
  <c r="P6" i="1"/>
  <c r="H14" i="7"/>
  <c r="H7" i="7"/>
  <c r="G8" i="7"/>
  <c r="E29" i="7"/>
  <c r="D40" i="6"/>
  <c r="D35" i="6"/>
  <c r="D42" i="6" s="1"/>
  <c r="D25" i="6"/>
  <c r="D23" i="6"/>
  <c r="D17" i="6"/>
  <c r="C17" i="6"/>
  <c r="D59" i="5"/>
  <c r="C59" i="5"/>
  <c r="D39" i="5"/>
  <c r="C39" i="5"/>
  <c r="D25" i="5"/>
  <c r="C25" i="5"/>
  <c r="D18" i="5"/>
  <c r="C18" i="5"/>
  <c r="D43" i="6" l="1"/>
  <c r="C25" i="6"/>
  <c r="D62" i="5"/>
  <c r="D31" i="5"/>
  <c r="D51" i="5" s="1"/>
  <c r="C31" i="5"/>
  <c r="C23" i="7"/>
  <c r="D45" i="6"/>
  <c r="D18" i="4" l="1"/>
  <c r="D23" i="4" s="1"/>
  <c r="C19" i="3" l="1"/>
  <c r="D25" i="3"/>
  <c r="AB6" i="1"/>
  <c r="C28" i="2" s="1"/>
  <c r="AG6" i="1"/>
  <c r="C25" i="2" s="1"/>
  <c r="AF6" i="1"/>
  <c r="C23" i="2" s="1"/>
  <c r="D34" i="4" l="1"/>
  <c r="C42" i="5"/>
  <c r="C44" i="5" s="1"/>
  <c r="D10" i="3"/>
  <c r="D13" i="3" s="1"/>
  <c r="D36" i="2"/>
  <c r="D31" i="2"/>
  <c r="D10" i="2"/>
  <c r="C49" i="5" l="1"/>
  <c r="C62" i="5" s="1"/>
  <c r="D33" i="2"/>
  <c r="D40" i="2" s="1"/>
  <c r="U6" i="1"/>
  <c r="C18" i="2" s="1"/>
  <c r="V6" i="1"/>
  <c r="C20" i="2" s="1"/>
  <c r="C63" i="5" l="1"/>
  <c r="C51" i="5"/>
  <c r="C60" i="5" s="1"/>
  <c r="J6" i="1"/>
  <c r="K6" i="1"/>
  <c r="AK6" i="1"/>
  <c r="AJ6" i="1"/>
  <c r="AI6" i="1"/>
  <c r="C19" i="2" s="1"/>
  <c r="AH6" i="1"/>
  <c r="C29" i="2" s="1"/>
  <c r="AE6" i="1"/>
  <c r="C15" i="2" s="1"/>
  <c r="AD6" i="1"/>
  <c r="C27" i="2" s="1"/>
  <c r="AA6" i="1"/>
  <c r="C26" i="2" s="1"/>
  <c r="Z6" i="1"/>
  <c r="Y6" i="1"/>
  <c r="C24" i="2" s="1"/>
  <c r="X6" i="1"/>
  <c r="C22" i="2" s="1"/>
  <c r="W6" i="1"/>
  <c r="C21" i="2" s="1"/>
  <c r="T6" i="1"/>
  <c r="C17" i="2" s="1"/>
  <c r="S6" i="1"/>
  <c r="C14" i="2" s="1"/>
  <c r="Q6" i="1"/>
  <c r="O6" i="1"/>
  <c r="N6" i="1"/>
  <c r="C35" i="2" s="1"/>
  <c r="C36" i="2" s="1"/>
  <c r="M6" i="1"/>
  <c r="L6" i="1"/>
  <c r="I6" i="1"/>
  <c r="H6" i="1"/>
  <c r="G6" i="1"/>
  <c r="F6" i="1"/>
  <c r="E6" i="1"/>
  <c r="D6" i="1"/>
  <c r="C7" i="2" l="1"/>
  <c r="M8" i="1"/>
  <c r="J8" i="1"/>
  <c r="H8" i="1"/>
  <c r="C31" i="2"/>
  <c r="C8" i="2"/>
  <c r="F8" i="1"/>
  <c r="C22" i="3" s="1"/>
  <c r="C39" i="6" s="1"/>
  <c r="C40" i="6" s="1"/>
  <c r="D8" i="1"/>
  <c r="T8" i="1"/>
  <c r="C9" i="3" l="1"/>
  <c r="C10" i="3" s="1"/>
  <c r="C13" i="3" s="1"/>
  <c r="H22" i="7"/>
  <c r="H24" i="7" s="1"/>
  <c r="C10" i="2"/>
  <c r="C33" i="2" s="1"/>
  <c r="D10" i="1"/>
  <c r="Q10" i="1"/>
  <c r="C40" i="2" l="1"/>
  <c r="C20" i="3" s="1"/>
  <c r="C25" i="3" l="1"/>
  <c r="C34" i="6"/>
  <c r="C35" i="6" s="1"/>
  <c r="C42" i="6" l="1"/>
  <c r="C43" i="6" s="1"/>
  <c r="C45" i="6" l="1"/>
</calcChain>
</file>

<file path=xl/sharedStrings.xml><?xml version="1.0" encoding="utf-8"?>
<sst xmlns="http://schemas.openxmlformats.org/spreadsheetml/2006/main" count="319" uniqueCount="279">
  <si>
    <t>INNTEKTER</t>
  </si>
  <si>
    <t>Bespisning</t>
  </si>
  <si>
    <t>Annonser</t>
  </si>
  <si>
    <t>Gebyrer</t>
  </si>
  <si>
    <t>Annet</t>
  </si>
  <si>
    <t>Inn</t>
  </si>
  <si>
    <t>Ut</t>
  </si>
  <si>
    <t>Summering:</t>
  </si>
  <si>
    <t xml:space="preserve">Saldo på konto : </t>
  </si>
  <si>
    <t>Samlede inntekter:</t>
  </si>
  <si>
    <t>Samlede utgifter alle konti</t>
  </si>
  <si>
    <t>Differanse i regnskapet:</t>
  </si>
  <si>
    <t>Dato:</t>
  </si>
  <si>
    <t>Tekst</t>
  </si>
  <si>
    <t>Bilag</t>
  </si>
  <si>
    <t>År:</t>
  </si>
  <si>
    <t>BALANSE</t>
  </si>
  <si>
    <t>UTGIFTER</t>
  </si>
  <si>
    <t>Hjemmeside</t>
  </si>
  <si>
    <t>Profileringsmater.</t>
  </si>
  <si>
    <t>Overnatting</t>
  </si>
  <si>
    <t>Regnskap - Drift</t>
  </si>
  <si>
    <t>Regnskap</t>
  </si>
  <si>
    <t>Inntekter</t>
  </si>
  <si>
    <t>Medlemsavgifter</t>
  </si>
  <si>
    <t>Sum driftsinntekter</t>
  </si>
  <si>
    <t>Utgifter</t>
  </si>
  <si>
    <t>Honorar</t>
  </si>
  <si>
    <t>Kjøregodtgjørelse</t>
  </si>
  <si>
    <t>Reiseutgifter</t>
  </si>
  <si>
    <t>Deltageravgifter</t>
  </si>
  <si>
    <t>Brosjyrer/profileringsmateriell</t>
  </si>
  <si>
    <t>Sum driftsutgifter</t>
  </si>
  <si>
    <t>Brutto driftsresultat</t>
  </si>
  <si>
    <t>Renteinntekter</t>
  </si>
  <si>
    <t>Sum finansinntekter</t>
  </si>
  <si>
    <t>Regnskap - Balanse</t>
  </si>
  <si>
    <t>Eiendeler:</t>
  </si>
  <si>
    <t>Omløpsmidler</t>
  </si>
  <si>
    <t>Bankinnskudd</t>
  </si>
  <si>
    <t>Sum omløpsmidler</t>
  </si>
  <si>
    <t>Sum eiendeler</t>
  </si>
  <si>
    <t>Egenkapital og gjeld:</t>
  </si>
  <si>
    <t>Kortsiktig gjeld til Martin Alvsvåg</t>
  </si>
  <si>
    <t>Sum egenkapital og gjeld</t>
  </si>
  <si>
    <t>Bank  1920</t>
  </si>
  <si>
    <t>Martin Alvsvåg  2400</t>
  </si>
  <si>
    <t>Tilskudd/støtte  3400</t>
  </si>
  <si>
    <t>Medlemsavgift  3100</t>
  </si>
  <si>
    <t>Finansinntekter  3950</t>
  </si>
  <si>
    <t>Annen inntekt  3900</t>
  </si>
  <si>
    <t>Abonnement    6800</t>
  </si>
  <si>
    <t>Honorarer          5100</t>
  </si>
  <si>
    <t>Kjøregodtgjøring   7100</t>
  </si>
  <si>
    <t>Tog/ferge/bom   7120</t>
  </si>
  <si>
    <t>Overnatting   7140</t>
  </si>
  <si>
    <t>Bespisning   7160</t>
  </si>
  <si>
    <t>Annonser       7300</t>
  </si>
  <si>
    <t>Deltageravg.   6860</t>
  </si>
  <si>
    <t>Trykksaker / materiell    6820</t>
  </si>
  <si>
    <t>Brosjyrer/ 6850</t>
  </si>
  <si>
    <t>Gebyrer          7770</t>
  </si>
  <si>
    <t>Annet              7790</t>
  </si>
  <si>
    <t>Inngående balanse :</t>
  </si>
  <si>
    <t>Bidrag og støtte</t>
  </si>
  <si>
    <t>Bidrag og støtte  6900</t>
  </si>
  <si>
    <t>Flybilletter</t>
  </si>
  <si>
    <t>Flybilletter    7130</t>
  </si>
  <si>
    <t>Regnskapets resultat</t>
  </si>
  <si>
    <t>Resultat</t>
  </si>
  <si>
    <t>RIVERS.GLOBAL</t>
  </si>
  <si>
    <t>Regnskap Rivers.Global</t>
  </si>
  <si>
    <t>Medlemskontingent 6910</t>
  </si>
  <si>
    <t>Lisensavgifter   6920</t>
  </si>
  <si>
    <t>Lisensavgifter</t>
  </si>
  <si>
    <t>Gaver            6950</t>
  </si>
  <si>
    <t>Gaver til frivillige</t>
  </si>
  <si>
    <t>Egenkapital</t>
  </si>
  <si>
    <t>Note 1</t>
  </si>
  <si>
    <t>Støtte/gaver</t>
  </si>
  <si>
    <t>Note 2</t>
  </si>
  <si>
    <t>Note 3</t>
  </si>
  <si>
    <t>Note 4</t>
  </si>
  <si>
    <t>Spesifikasjon av noe av støtte/gaver:</t>
  </si>
  <si>
    <t>Bankinnskudd i Sparebanke Sør</t>
  </si>
  <si>
    <t>Organisasjonens navn</t>
  </si>
  <si>
    <t>Organisasjonsnummer</t>
  </si>
  <si>
    <t>Rivers.Global</t>
  </si>
  <si>
    <t>ORGANISASJONENS INNTEKTER OG KOSTNADER</t>
  </si>
  <si>
    <t>ANSKAFFEDE MIDLER</t>
  </si>
  <si>
    <t>1a</t>
  </si>
  <si>
    <t>Medlemsinntekter</t>
  </si>
  <si>
    <t>1b</t>
  </si>
  <si>
    <t>TILSKUDD</t>
  </si>
  <si>
    <t>1b i</t>
  </si>
  <si>
    <t>Offentlige tilskudd</t>
  </si>
  <si>
    <t>1b ii</t>
  </si>
  <si>
    <t>Andre tilskudd</t>
  </si>
  <si>
    <t>Sum tilskudd</t>
  </si>
  <si>
    <t>1c</t>
  </si>
  <si>
    <t>Innsamlede midler, gaver m.v.</t>
  </si>
  <si>
    <t>1d</t>
  </si>
  <si>
    <t>Opptjente inntekter fra operasjonelle aktiviteter</t>
  </si>
  <si>
    <t>1d i</t>
  </si>
  <si>
    <t xml:space="preserve"> -  som oppfyller organisasjonene formål</t>
  </si>
  <si>
    <t>1d ii</t>
  </si>
  <si>
    <t xml:space="preserve"> -  som skaper inntekter</t>
  </si>
  <si>
    <t>Sum opptjente inntekter fra operasjonelle aktiviteter</t>
  </si>
  <si>
    <t>1e</t>
  </si>
  <si>
    <t>Finans og investeringsinntekter</t>
  </si>
  <si>
    <t>1f</t>
  </si>
  <si>
    <t xml:space="preserve">Andre inntekter </t>
  </si>
  <si>
    <t>Sum anskaffede midler</t>
  </si>
  <si>
    <t>FORBRUKTE MIDLER</t>
  </si>
  <si>
    <t>2a</t>
  </si>
  <si>
    <t>Kostnader til anskaffelse av midler</t>
  </si>
  <si>
    <t>2a i</t>
  </si>
  <si>
    <t>Kostnader til innsamling av midler</t>
  </si>
  <si>
    <t>2a ii</t>
  </si>
  <si>
    <t>Andre kostnader til anskaffelse av midler</t>
  </si>
  <si>
    <t>Sum kostnader til anskaffelse av midler</t>
  </si>
  <si>
    <t>2b</t>
  </si>
  <si>
    <t>Kostnader til organisasjonens formål</t>
  </si>
  <si>
    <t>2b i</t>
  </si>
  <si>
    <t>Gaver, tilskudd, bevillinger til oppfyllelse av formål</t>
  </si>
  <si>
    <t>2b ii</t>
  </si>
  <si>
    <t>Kostnader til aktiviteter som oppfyller formålet</t>
  </si>
  <si>
    <t>Sum kostnader til organisasjonens formål</t>
  </si>
  <si>
    <t>Administrasjonskostnader</t>
  </si>
  <si>
    <t>Finanskostnad</t>
  </si>
  <si>
    <t>Sum forbrukte midler</t>
  </si>
  <si>
    <t>AKTIVITETSRESULTAT</t>
  </si>
  <si>
    <t>TILLEGG/REDUKSJON FORMÅLSKAPITAL</t>
  </si>
  <si>
    <t>4a</t>
  </si>
  <si>
    <t>Endring grunnkapital</t>
  </si>
  <si>
    <t>4b</t>
  </si>
  <si>
    <t>Endring formålskaital med lovpålagte restriksjoner</t>
  </si>
  <si>
    <t>4c</t>
  </si>
  <si>
    <t>Endring formålskapital med eksternt pålagte restriksjoner</t>
  </si>
  <si>
    <t>4d</t>
  </si>
  <si>
    <t>Endring formålskapital med selvpålagte restriksjoner</t>
  </si>
  <si>
    <t>4f</t>
  </si>
  <si>
    <t>Endring annen formålskapital</t>
  </si>
  <si>
    <t>SUM TILLEGG/REDUKSJON FORMÅLSKAPITAL</t>
  </si>
  <si>
    <t>Innsamlingsprosent</t>
  </si>
  <si>
    <t>Formålsprosent = Kostnader til formålet / Sum forbrukte midler</t>
  </si>
  <si>
    <t>Administrasjonsprosent = Administrasjonskostnader / Sum forbrukte midler</t>
  </si>
  <si>
    <t xml:space="preserve"> </t>
  </si>
  <si>
    <t>organisasjonsnummer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</si>
  <si>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</si>
  <si>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</si>
  <si>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</si>
  <si>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</si>
  <si>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</si>
  <si>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</si>
  <si>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</si>
  <si>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</si>
  <si>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</si>
  <si>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</si>
  <si>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</si>
  <si>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</si>
  <si>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</si>
  <si>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</si>
  <si>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</si>
  <si>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</si>
  <si>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</si>
  <si>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</si>
  <si>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</si>
  <si>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</si>
  <si>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</si>
  <si>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</si>
  <si>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</si>
  <si>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</si>
  <si>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</si>
  <si>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</si>
  <si>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T 050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</si>
  <si>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</si>
  <si>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</si>
  <si>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</si>
  <si>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</si>
  <si>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</si>
  <si>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</si>
  <si>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</si>
  <si>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</si>
  <si>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</si>
  <si>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</si>
  <si>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</si>
  <si>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</si>
  <si>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</si>
  <si>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</si>
  <si>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</si>
  <si>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</si>
  <si>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</si>
  <si>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</si>
  <si>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</si>
  <si>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</si>
  <si>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</si>
  <si>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</si>
  <si>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</si>
  <si>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</si>
  <si>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</si>
  <si>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</si>
  <si>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</si>
  <si>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</si>
  <si>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</si>
  <si>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</si>
  <si>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</si>
  <si>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</si>
  <si>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Inntekter Facebook  3450</t>
  </si>
  <si>
    <t>Oppsamleren   TRC    6100</t>
  </si>
  <si>
    <t>Servering           6930</t>
  </si>
  <si>
    <t>Hjemmeside    Sosiale medier  6870</t>
  </si>
  <si>
    <t>Domeneshop f.nr. 3470371</t>
  </si>
  <si>
    <t>Norges Innsamlingsråd Fagfrokost</t>
  </si>
  <si>
    <t xml:space="preserve">Remittance </t>
  </si>
  <si>
    <t>Fair &amp; Square</t>
  </si>
  <si>
    <t>Adseo Facebook annonsering</t>
  </si>
  <si>
    <t>Utbet. M. Alvsvåg 2020</t>
  </si>
  <si>
    <t>Bardu kommune Tilskudd</t>
  </si>
  <si>
    <t>SINTEF godkjenning TRC</t>
  </si>
  <si>
    <t>Resultat pr. 31.12.21</t>
  </si>
  <si>
    <t>Norges Innsamlingsråd Kontingent</t>
  </si>
  <si>
    <t>Peppes Pizza</t>
  </si>
  <si>
    <t>Offer Domkirken Fredrikstad</t>
  </si>
  <si>
    <t>M. Alvsvår reisereg. Bømlo</t>
  </si>
  <si>
    <t>M. Alvsvår reisereg. Innv. TRC</t>
  </si>
  <si>
    <t>Kjell Birkenes Transport, kranbil</t>
  </si>
  <si>
    <t>Økland Foto</t>
  </si>
  <si>
    <t>Hallaker Sveis og Vedlikehold</t>
  </si>
  <si>
    <t>Fredrikstaf Frikirke, offer</t>
  </si>
  <si>
    <t>Adseo drift hjemmeside</t>
  </si>
  <si>
    <t>Bømlo Folkehøgskule, gave</t>
  </si>
  <si>
    <t>Bremnes Seashore, tilskudd TRC</t>
  </si>
  <si>
    <t>M. Alvsvåg, porto</t>
  </si>
  <si>
    <t>M. Alvsvåg, tog Oslo filming</t>
  </si>
  <si>
    <t>Arild Fehn, tog Oslo filming</t>
  </si>
  <si>
    <t>Mailchimp 2021</t>
  </si>
  <si>
    <t>Gyrostativ til filming</t>
  </si>
  <si>
    <t>CFS Invest AS, donasjon</t>
  </si>
  <si>
    <t>VIPPS 2021 iflg. Rapport</t>
  </si>
  <si>
    <t>Transaksjoner Innbetalinger 2021</t>
  </si>
  <si>
    <t>Solidus, mnd. Lisens 2021</t>
  </si>
  <si>
    <t>Banking Circle Denmark, gaver 2021</t>
  </si>
  <si>
    <t>Transaksjon, gaver, offer 2021</t>
  </si>
  <si>
    <t>Gebyrer Sparebanken Sør 2021</t>
  </si>
  <si>
    <t>Renteinntekter 2021</t>
  </si>
  <si>
    <t>Diff</t>
  </si>
  <si>
    <t>M. Alvsvåg, bevertning elever, Bømlo</t>
  </si>
  <si>
    <t>Nordic Paper Greåker, gave</t>
  </si>
  <si>
    <t>Oppsamleren TRC</t>
  </si>
  <si>
    <t>Facebookinntekter</t>
  </si>
  <si>
    <t>Noter regnskap 2021</t>
  </si>
  <si>
    <t xml:space="preserve">I 2020 ble det ikke skilt på medlemsavgifter  </t>
  </si>
  <si>
    <t>og støtte / gaver.</t>
  </si>
  <si>
    <t>I 2021 splitter vi dette.</t>
  </si>
  <si>
    <t>Bremnes Seashore</t>
  </si>
  <si>
    <t>Bømlo Folkehøgskule</t>
  </si>
  <si>
    <t>CFS Invest AS</t>
  </si>
  <si>
    <t xml:space="preserve">Bardu kommune </t>
  </si>
  <si>
    <t>Offer Domkirken Fredrikstad, Glommafestivalen</t>
  </si>
  <si>
    <t>Sarpsborg menighet, offer</t>
  </si>
  <si>
    <t>Kampen sokn, offer</t>
  </si>
  <si>
    <t>Facebook inntekter</t>
  </si>
  <si>
    <t>Total inntekt 2021</t>
  </si>
  <si>
    <t>Resterende er andre gaver</t>
  </si>
  <si>
    <t>Konto 2801.50.14484, saldo pr. 31.12.2021</t>
  </si>
  <si>
    <t>Det ble i 2021 produsert en prototype</t>
  </si>
  <si>
    <t>av plastoppsamleren The River Cleaner</t>
  </si>
  <si>
    <t>Samlede utgifter til denne ble i 2021</t>
  </si>
  <si>
    <t>Gaver, offer og tilskudd</t>
  </si>
  <si>
    <t>Den norske Misjonsallianse</t>
  </si>
  <si>
    <t>Leverandørgjeld</t>
  </si>
  <si>
    <t>Kortsiktg gjeld</t>
  </si>
  <si>
    <t xml:space="preserve">Rivers.global har gitt støtte til Den norske </t>
  </si>
  <si>
    <t>Misjonsallianse sitt prosjekt " Fighting plastic</t>
  </si>
  <si>
    <t>in Mekong"</t>
  </si>
  <si>
    <t>REGNSKAP</t>
  </si>
  <si>
    <t xml:space="preserve">M. Alvsvåg, 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</si>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</sst>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d/m/"/>
    <numFmt numFmtId="166" formatCode="#,##0_ ;[Red]\-#,##0\ "/>
    <numFmt numFmtId="167" formatCode="#,##0.00_ ;[Red]\-#,##0.00\ "/>
    <numFmt numFmtId="168" formatCode="_(* #,##0_);_(* \(#,##0\);_(* &quot;-&quot;??_);_(@_)"/>
    <numFmt numFmtId="169" formatCode="0.0\ %"/>
  </numFmts>
  <fonts count="30" x14ac:knownFonts="1">
    <font>
      <sz val="12"/>
      <color theme="1"/>
      <name val="Calibri"/>
      <family val="2"/>
      <scheme val="minor"/>
    </font>
    <font>
      <b/>
      <sz val="16"/>
      <color rgb="FF003366"/>
      <name val="Arial"/>
      <family val="2"/>
    </font>
    <font>
      <b/>
      <sz val="18"/>
      <color rgb="FF003366"/>
      <name val="Arial"/>
      <family val="2"/>
    </font>
    <font>
      <sz val="8"/>
      <color rgb="FF003366"/>
      <name val="Arial"/>
      <family val="2"/>
    </font>
    <font>
      <b/>
      <sz val="9"/>
      <name val="Arial"/>
      <family val="2"/>
    </font>
    <font>
      <sz val="12"/>
      <color rgb="FF003366"/>
      <name val="Arial"/>
      <family val="2"/>
    </font>
    <font>
      <sz val="8"/>
      <name val="Arial"/>
      <family val="2"/>
    </font>
    <font>
      <sz val="7"/>
      <color rgb="FF003366"/>
      <name val="Arial"/>
      <family val="2"/>
    </font>
    <font>
      <b/>
      <sz val="8"/>
      <color rgb="FF00336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Calibri"/>
      <family val="2"/>
      <scheme val="minor"/>
    </font>
    <font>
      <sz val="10"/>
      <color theme="9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16">
    <xf numFmtId="0" fontId="0" fillId="0" borderId="0" xfId="0"/>
    <xf numFmtId="167" fontId="6" fillId="0" borderId="16" xfId="0" applyNumberFormat="1" applyFont="1" applyBorder="1" applyAlignment="1">
      <alignment vertical="center" wrapText="1"/>
    </xf>
    <xf numFmtId="167" fontId="6" fillId="5" borderId="5" xfId="0" applyNumberFormat="1" applyFont="1" applyFill="1" applyBorder="1" applyAlignment="1">
      <alignment horizontal="center" vertical="center"/>
    </xf>
    <xf numFmtId="167" fontId="6" fillId="5" borderId="19" xfId="0" applyNumberFormat="1" applyFont="1" applyFill="1" applyBorder="1" applyAlignment="1">
      <alignment horizontal="center" vertical="center"/>
    </xf>
    <xf numFmtId="167" fontId="6" fillId="5" borderId="20" xfId="0" applyNumberFormat="1" applyFont="1" applyFill="1" applyBorder="1" applyAlignment="1">
      <alignment horizontal="center" vertical="center"/>
    </xf>
    <xf numFmtId="167" fontId="6" fillId="5" borderId="21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protection locked="0"/>
    </xf>
    <xf numFmtId="167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/>
    <xf numFmtId="167" fontId="11" fillId="0" borderId="0" xfId="0" applyNumberFormat="1" applyFont="1"/>
    <xf numFmtId="0" fontId="11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right"/>
    </xf>
    <xf numFmtId="0" fontId="12" fillId="0" borderId="31" xfId="0" applyNumberFormat="1" applyFont="1" applyBorder="1" applyAlignment="1" applyProtection="1">
      <alignment vertical="center"/>
    </xf>
    <xf numFmtId="0" fontId="15" fillId="0" borderId="31" xfId="0" applyFont="1" applyBorder="1" applyAlignment="1" applyProtection="1">
      <alignment horizontal="center" vertical="center"/>
    </xf>
    <xf numFmtId="16" fontId="12" fillId="6" borderId="32" xfId="0" applyNumberFormat="1" applyFont="1" applyFill="1" applyBorder="1" applyAlignment="1" applyProtection="1"/>
    <xf numFmtId="167" fontId="12" fillId="6" borderId="32" xfId="0" applyNumberFormat="1" applyFont="1" applyFill="1" applyBorder="1" applyAlignment="1" applyProtection="1">
      <alignment horizontal="center"/>
    </xf>
    <xf numFmtId="166" fontId="12" fillId="6" borderId="32" xfId="0" applyNumberFormat="1" applyFont="1" applyFill="1" applyBorder="1" applyAlignment="1" applyProtection="1">
      <alignment horizontal="center"/>
    </xf>
    <xf numFmtId="14" fontId="0" fillId="0" borderId="0" xfId="0" applyNumberFormat="1"/>
    <xf numFmtId="166" fontId="11" fillId="0" borderId="0" xfId="0" applyNumberFormat="1" applyFont="1" applyAlignment="1" applyProtection="1">
      <alignment horizontal="center"/>
      <protection locked="0"/>
    </xf>
    <xf numFmtId="166" fontId="11" fillId="0" borderId="29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167" fontId="10" fillId="0" borderId="29" xfId="0" applyNumberFormat="1" applyFont="1" applyBorder="1" applyAlignment="1" applyProtection="1">
      <alignment horizontal="center"/>
    </xf>
    <xf numFmtId="0" fontId="15" fillId="0" borderId="31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167" fontId="4" fillId="3" borderId="3" xfId="0" applyNumberFormat="1" applyFont="1" applyFill="1" applyBorder="1" applyAlignment="1">
      <alignment horizontal="center"/>
    </xf>
    <xf numFmtId="167" fontId="4" fillId="3" borderId="4" xfId="0" applyNumberFormat="1" applyFont="1" applyFill="1" applyBorder="1" applyAlignment="1">
      <alignment horizontal="center"/>
    </xf>
    <xf numFmtId="164" fontId="12" fillId="0" borderId="0" xfId="0" applyNumberFormat="1" applyFont="1" applyProtection="1">
      <protection locked="0"/>
    </xf>
    <xf numFmtId="164" fontId="12" fillId="0" borderId="0" xfId="0" applyNumberFormat="1" applyFont="1"/>
    <xf numFmtId="164" fontId="12" fillId="0" borderId="23" xfId="0" applyNumberFormat="1" applyFont="1" applyBorder="1"/>
    <xf numFmtId="164" fontId="12" fillId="0" borderId="9" xfId="0" applyNumberFormat="1" applyFont="1" applyBorder="1"/>
    <xf numFmtId="164" fontId="12" fillId="0" borderId="28" xfId="0" applyNumberFormat="1" applyFont="1" applyBorder="1"/>
    <xf numFmtId="164" fontId="13" fillId="0" borderId="28" xfId="0" applyNumberFormat="1" applyFont="1" applyBorder="1"/>
    <xf numFmtId="164" fontId="14" fillId="0" borderId="0" xfId="0" applyNumberFormat="1" applyFont="1"/>
    <xf numFmtId="164" fontId="15" fillId="0" borderId="0" xfId="0" applyNumberFormat="1" applyFont="1"/>
    <xf numFmtId="164" fontId="13" fillId="0" borderId="0" xfId="0" applyNumberFormat="1" applyFont="1" applyBorder="1" applyProtection="1"/>
    <xf numFmtId="164" fontId="12" fillId="0" borderId="0" xfId="0" applyNumberFormat="1" applyFont="1" applyProtection="1"/>
    <xf numFmtId="164" fontId="14" fillId="0" borderId="0" xfId="0" applyNumberFormat="1" applyFont="1" applyProtection="1"/>
    <xf numFmtId="164" fontId="15" fillId="0" borderId="0" xfId="0" applyNumberFormat="1" applyFont="1" applyProtection="1"/>
    <xf numFmtId="164" fontId="12" fillId="0" borderId="28" xfId="0" applyNumberFormat="1" applyFont="1" applyBorder="1" applyProtection="1">
      <protection locked="0"/>
    </xf>
    <xf numFmtId="164" fontId="12" fillId="0" borderId="9" xfId="0" applyNumberFormat="1" applyFont="1" applyBorder="1" applyProtection="1"/>
    <xf numFmtId="164" fontId="12" fillId="0" borderId="30" xfId="0" applyNumberFormat="1" applyFont="1" applyBorder="1" applyProtection="1"/>
    <xf numFmtId="164" fontId="12" fillId="0" borderId="31" xfId="0" applyNumberFormat="1" applyFont="1" applyFill="1" applyBorder="1" applyAlignment="1" applyProtection="1">
      <alignment horizontal="center" vertical="center"/>
    </xf>
    <xf numFmtId="164" fontId="12" fillId="0" borderId="31" xfId="0" applyNumberFormat="1" applyFont="1" applyFill="1" applyBorder="1" applyAlignment="1" applyProtection="1">
      <alignment horizontal="center" vertical="center" wrapText="1"/>
    </xf>
    <xf numFmtId="164" fontId="12" fillId="0" borderId="31" xfId="0" applyNumberFormat="1" applyFont="1" applyBorder="1" applyAlignment="1" applyProtection="1">
      <alignment horizontal="center"/>
    </xf>
    <xf numFmtId="164" fontId="12" fillId="0" borderId="31" xfId="0" applyNumberFormat="1" applyFont="1" applyBorder="1" applyAlignment="1" applyProtection="1">
      <alignment horizontal="center" vertical="center" wrapText="1"/>
    </xf>
    <xf numFmtId="164" fontId="12" fillId="0" borderId="31" xfId="0" applyNumberFormat="1" applyFont="1" applyBorder="1" applyAlignment="1" applyProtection="1">
      <alignment horizontal="center" wrapText="1"/>
    </xf>
    <xf numFmtId="164" fontId="16" fillId="6" borderId="32" xfId="0" applyNumberFormat="1" applyFont="1" applyFill="1" applyBorder="1" applyProtection="1"/>
    <xf numFmtId="164" fontId="17" fillId="6" borderId="32" xfId="0" applyNumberFormat="1" applyFont="1" applyFill="1" applyBorder="1" applyProtection="1"/>
    <xf numFmtId="164" fontId="12" fillId="6" borderId="32" xfId="0" applyNumberFormat="1" applyFont="1" applyFill="1" applyBorder="1" applyProtection="1"/>
    <xf numFmtId="164" fontId="0" fillId="0" borderId="0" xfId="0" applyNumberFormat="1"/>
    <xf numFmtId="0" fontId="18" fillId="0" borderId="0" xfId="0" applyFont="1"/>
    <xf numFmtId="164" fontId="19" fillId="0" borderId="33" xfId="0" applyNumberFormat="1" applyFont="1" applyBorder="1"/>
    <xf numFmtId="0" fontId="0" fillId="2" borderId="0" xfId="0" applyFill="1"/>
    <xf numFmtId="164" fontId="12" fillId="0" borderId="0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4" fontId="20" fillId="0" borderId="0" xfId="0" applyNumberFormat="1" applyFont="1"/>
    <xf numFmtId="0" fontId="20" fillId="0" borderId="33" xfId="0" applyFont="1" applyBorder="1"/>
    <xf numFmtId="164" fontId="20" fillId="0" borderId="33" xfId="0" applyNumberFormat="1" applyFont="1" applyBorder="1"/>
    <xf numFmtId="0" fontId="23" fillId="0" borderId="33" xfId="0" applyFont="1" applyBorder="1"/>
    <xf numFmtId="164" fontId="23" fillId="0" borderId="33" xfId="0" applyNumberFormat="1" applyFont="1" applyBorder="1"/>
    <xf numFmtId="0" fontId="6" fillId="0" borderId="24" xfId="0" applyFont="1" applyBorder="1" applyAlignment="1"/>
    <xf numFmtId="167" fontId="10" fillId="0" borderId="0" xfId="0" applyNumberFormat="1" applyFont="1" applyAlignment="1" applyProtection="1">
      <alignment horizontal="right"/>
      <protection locked="0"/>
    </xf>
    <xf numFmtId="0" fontId="7" fillId="0" borderId="8" xfId="0" applyNumberFormat="1" applyFont="1" applyBorder="1" applyAlignment="1" applyProtection="1">
      <alignment vertical="center"/>
      <protection locked="0"/>
    </xf>
    <xf numFmtId="164" fontId="9" fillId="0" borderId="28" xfId="0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24" fillId="0" borderId="0" xfId="0" applyFont="1"/>
    <xf numFmtId="0" fontId="0" fillId="0" borderId="4" xfId="0" applyBorder="1"/>
    <xf numFmtId="164" fontId="0" fillId="0" borderId="4" xfId="0" applyNumberFormat="1" applyBorder="1"/>
    <xf numFmtId="44" fontId="0" fillId="0" borderId="0" xfId="0" applyNumberFormat="1"/>
    <xf numFmtId="0" fontId="20" fillId="0" borderId="35" xfId="0" applyFont="1" applyBorder="1"/>
    <xf numFmtId="44" fontId="20" fillId="0" borderId="35" xfId="0" applyNumberFormat="1" applyFont="1" applyBorder="1"/>
    <xf numFmtId="44" fontId="20" fillId="0" borderId="33" xfId="0" applyNumberFormat="1" applyFont="1" applyBorder="1"/>
    <xf numFmtId="0" fontId="0" fillId="8" borderId="36" xfId="0" applyFill="1" applyBorder="1" applyAlignment="1">
      <alignment horizontal="left"/>
    </xf>
    <xf numFmtId="0" fontId="26" fillId="8" borderId="37" xfId="0" applyFont="1" applyFill="1" applyBorder="1" applyAlignment="1">
      <alignment horizontal="center"/>
    </xf>
    <xf numFmtId="168" fontId="0" fillId="8" borderId="37" xfId="1" applyNumberFormat="1" applyFont="1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left"/>
    </xf>
    <xf numFmtId="0" fontId="9" fillId="8" borderId="0" xfId="0" applyFont="1" applyFill="1" applyAlignment="1">
      <alignment horizontal="center"/>
    </xf>
    <xf numFmtId="168" fontId="0" fillId="8" borderId="0" xfId="1" applyNumberFormat="1" applyFon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12" fillId="8" borderId="2" xfId="0" applyFont="1" applyFill="1" applyBorder="1"/>
    <xf numFmtId="0" fontId="0" fillId="0" borderId="18" xfId="0" applyBorder="1" applyProtection="1">
      <protection locked="0"/>
    </xf>
    <xf numFmtId="0" fontId="12" fillId="0" borderId="0" xfId="0" applyFont="1"/>
    <xf numFmtId="0" fontId="12" fillId="8" borderId="0" xfId="0" applyFont="1" applyFill="1"/>
    <xf numFmtId="168" fontId="12" fillId="8" borderId="0" xfId="1" applyNumberFormat="1" applyFont="1" applyFill="1" applyBorder="1" applyAlignment="1">
      <alignment horizontal="center"/>
    </xf>
    <xf numFmtId="0" fontId="12" fillId="8" borderId="40" xfId="0" applyFont="1" applyFill="1" applyBorder="1" applyAlignment="1">
      <alignment horizontal="center"/>
    </xf>
    <xf numFmtId="168" fontId="9" fillId="8" borderId="0" xfId="1" applyNumberFormat="1" applyFont="1" applyFill="1" applyBorder="1" applyAlignment="1">
      <alignment horizontal="right"/>
    </xf>
    <xf numFmtId="0" fontId="9" fillId="8" borderId="40" xfId="0" applyFont="1" applyFill="1" applyBorder="1" applyAlignment="1">
      <alignment horizontal="right"/>
    </xf>
    <xf numFmtId="0" fontId="9" fillId="8" borderId="0" xfId="0" applyFont="1" applyFill="1"/>
    <xf numFmtId="0" fontId="9" fillId="8" borderId="0" xfId="0" applyFont="1" applyFill="1" applyAlignment="1">
      <alignment horizontal="right"/>
    </xf>
    <xf numFmtId="168" fontId="12" fillId="8" borderId="0" xfId="1" applyNumberFormat="1" applyFont="1" applyFill="1" applyBorder="1" applyAlignment="1"/>
    <xf numFmtId="0" fontId="12" fillId="8" borderId="40" xfId="0" applyFont="1" applyFill="1" applyBorder="1"/>
    <xf numFmtId="0" fontId="27" fillId="8" borderId="0" xfId="0" applyFont="1" applyFill="1"/>
    <xf numFmtId="168" fontId="12" fillId="8" borderId="0" xfId="1" applyNumberFormat="1" applyFont="1" applyFill="1" applyBorder="1"/>
    <xf numFmtId="168" fontId="12" fillId="0" borderId="0" xfId="1" applyNumberFormat="1" applyFont="1" applyFill="1" applyBorder="1" applyAlignment="1" applyProtection="1">
      <alignment horizontal="right"/>
      <protection locked="0"/>
    </xf>
    <xf numFmtId="0" fontId="12" fillId="0" borderId="40" xfId="0" applyFont="1" applyBorder="1" applyAlignment="1" applyProtection="1">
      <alignment horizontal="right"/>
      <protection locked="0"/>
    </xf>
    <xf numFmtId="168" fontId="12" fillId="8" borderId="0" xfId="1" applyNumberFormat="1" applyFont="1" applyFill="1" applyBorder="1" applyAlignment="1">
      <alignment horizontal="right"/>
    </xf>
    <xf numFmtId="0" fontId="12" fillId="8" borderId="40" xfId="0" applyFont="1" applyFill="1" applyBorder="1" applyAlignment="1">
      <alignment horizontal="right"/>
    </xf>
    <xf numFmtId="0" fontId="28" fillId="8" borderId="0" xfId="0" applyFont="1" applyFill="1"/>
    <xf numFmtId="168" fontId="12" fillId="0" borderId="40" xfId="1" applyNumberFormat="1" applyFont="1" applyFill="1" applyBorder="1" applyAlignment="1" applyProtection="1">
      <alignment horizontal="right"/>
      <protection locked="0"/>
    </xf>
    <xf numFmtId="168" fontId="9" fillId="8" borderId="43" xfId="1" applyNumberFormat="1" applyFont="1" applyFill="1" applyBorder="1" applyAlignment="1">
      <alignment horizontal="right"/>
    </xf>
    <xf numFmtId="168" fontId="9" fillId="8" borderId="44" xfId="1" applyNumberFormat="1" applyFont="1" applyFill="1" applyBorder="1" applyAlignment="1">
      <alignment horizontal="right"/>
    </xf>
    <xf numFmtId="168" fontId="12" fillId="8" borderId="40" xfId="1" applyNumberFormat="1" applyFont="1" applyFill="1" applyBorder="1" applyAlignment="1">
      <alignment horizontal="right"/>
    </xf>
    <xf numFmtId="168" fontId="12" fillId="0" borderId="0" xfId="1" applyNumberFormat="1" applyFont="1" applyFill="1" applyBorder="1" applyProtection="1">
      <protection locked="0"/>
    </xf>
    <xf numFmtId="168" fontId="12" fillId="0" borderId="40" xfId="1" applyNumberFormat="1" applyFont="1" applyFill="1" applyBorder="1" applyProtection="1">
      <protection locked="0"/>
    </xf>
    <xf numFmtId="168" fontId="12" fillId="8" borderId="40" xfId="1" applyNumberFormat="1" applyFont="1" applyFill="1" applyBorder="1"/>
    <xf numFmtId="168" fontId="9" fillId="8" borderId="43" xfId="1" applyNumberFormat="1" applyFont="1" applyFill="1" applyBorder="1"/>
    <xf numFmtId="168" fontId="9" fillId="8" borderId="44" xfId="1" applyNumberFormat="1" applyFont="1" applyFill="1" applyBorder="1"/>
    <xf numFmtId="168" fontId="9" fillId="8" borderId="35" xfId="1" applyNumberFormat="1" applyFont="1" applyFill="1" applyBorder="1" applyAlignment="1">
      <alignment horizontal="right"/>
    </xf>
    <xf numFmtId="168" fontId="9" fillId="8" borderId="45" xfId="1" applyNumberFormat="1" applyFont="1" applyFill="1" applyBorder="1" applyAlignment="1">
      <alignment horizontal="right"/>
    </xf>
    <xf numFmtId="168" fontId="0" fillId="8" borderId="0" xfId="1" applyNumberFormat="1" applyFont="1" applyFill="1" applyBorder="1"/>
    <xf numFmtId="0" fontId="12" fillId="8" borderId="39" xfId="0" applyFont="1" applyFill="1" applyBorder="1" applyAlignment="1">
      <alignment horizontal="left"/>
    </xf>
    <xf numFmtId="0" fontId="9" fillId="0" borderId="0" xfId="0" applyFont="1"/>
    <xf numFmtId="0" fontId="9" fillId="8" borderId="39" xfId="0" applyFont="1" applyFill="1" applyBorder="1" applyAlignment="1">
      <alignment horizontal="left"/>
    </xf>
    <xf numFmtId="0" fontId="0" fillId="8" borderId="39" xfId="0" applyFill="1" applyBorder="1"/>
    <xf numFmtId="0" fontId="0" fillId="8" borderId="46" xfId="0" applyFill="1" applyBorder="1"/>
    <xf numFmtId="0" fontId="12" fillId="8" borderId="31" xfId="0" applyFont="1" applyFill="1" applyBorder="1"/>
    <xf numFmtId="168" fontId="12" fillId="8" borderId="31" xfId="1" applyNumberFormat="1" applyFont="1" applyFill="1" applyBorder="1" applyAlignment="1">
      <alignment horizontal="right"/>
    </xf>
    <xf numFmtId="0" fontId="12" fillId="8" borderId="47" xfId="0" applyFont="1" applyFill="1" applyBorder="1" applyAlignment="1">
      <alignment horizontal="left"/>
    </xf>
    <xf numFmtId="0" fontId="0" fillId="8" borderId="0" xfId="0" applyFill="1"/>
    <xf numFmtId="0" fontId="12" fillId="8" borderId="39" xfId="0" applyFont="1" applyFill="1" applyBorder="1"/>
    <xf numFmtId="0" fontId="12" fillId="8" borderId="46" xfId="0" applyFont="1" applyFill="1" applyBorder="1"/>
    <xf numFmtId="0" fontId="0" fillId="8" borderId="31" xfId="0" applyFill="1" applyBorder="1"/>
    <xf numFmtId="168" fontId="0" fillId="8" borderId="31" xfId="1" applyNumberFormat="1" applyFont="1" applyFill="1" applyBorder="1"/>
    <xf numFmtId="168" fontId="12" fillId="0" borderId="0" xfId="1" applyNumberFormat="1" applyFont="1" applyBorder="1" applyAlignment="1">
      <alignment horizontal="right"/>
    </xf>
    <xf numFmtId="169" fontId="12" fillId="0" borderId="0" xfId="2" applyNumberFormat="1" applyFont="1" applyBorder="1" applyAlignment="1">
      <alignment horizontal="right"/>
    </xf>
    <xf numFmtId="168" fontId="12" fillId="0" borderId="0" xfId="1" applyNumberFormat="1" applyFont="1" applyBorder="1"/>
    <xf numFmtId="168" fontId="12" fillId="0" borderId="0" xfId="1" applyNumberFormat="1" applyFont="1"/>
    <xf numFmtId="0" fontId="12" fillId="0" borderId="0" xfId="0" applyFont="1" applyAlignment="1">
      <alignment horizontal="center"/>
    </xf>
    <xf numFmtId="0" fontId="29" fillId="0" borderId="0" xfId="0" applyFont="1" applyAlignment="1">
      <alignment wrapText="1"/>
    </xf>
    <xf numFmtId="168" fontId="29" fillId="0" borderId="0" xfId="1" applyNumberFormat="1" applyFont="1" applyAlignment="1">
      <alignment wrapText="1"/>
    </xf>
    <xf numFmtId="0" fontId="29" fillId="0" borderId="0" xfId="0" applyFont="1"/>
    <xf numFmtId="168" fontId="0" fillId="0" borderId="0" xfId="1" applyNumberFormat="1" applyFont="1"/>
    <xf numFmtId="0" fontId="0" fillId="8" borderId="36" xfId="0" applyFill="1" applyBorder="1"/>
    <xf numFmtId="0" fontId="29" fillId="8" borderId="37" xfId="0" applyFont="1" applyFill="1" applyBorder="1"/>
    <xf numFmtId="168" fontId="0" fillId="8" borderId="37" xfId="1" applyNumberFormat="1" applyFont="1" applyFill="1" applyBorder="1"/>
    <xf numFmtId="168" fontId="0" fillId="8" borderId="38" xfId="1" applyNumberFormat="1" applyFont="1" applyFill="1" applyBorder="1"/>
    <xf numFmtId="0" fontId="9" fillId="8" borderId="39" xfId="0" applyFont="1" applyFill="1" applyBorder="1"/>
    <xf numFmtId="168" fontId="12" fillId="8" borderId="41" xfId="1" applyNumberFormat="1" applyFont="1" applyFill="1" applyBorder="1"/>
    <xf numFmtId="49" fontId="9" fillId="8" borderId="0" xfId="1" applyNumberFormat="1" applyFont="1" applyFill="1" applyBorder="1" applyAlignment="1">
      <alignment horizontal="right"/>
    </xf>
    <xf numFmtId="168" fontId="12" fillId="0" borderId="1" xfId="1" applyNumberFormat="1" applyFont="1" applyFill="1" applyBorder="1" applyAlignment="1" applyProtection="1">
      <alignment horizontal="right"/>
      <protection locked="0"/>
    </xf>
    <xf numFmtId="168" fontId="12" fillId="0" borderId="42" xfId="1" applyNumberFormat="1" applyFont="1" applyFill="1" applyBorder="1" applyAlignment="1" applyProtection="1">
      <alignment horizontal="right"/>
      <protection locked="0"/>
    </xf>
    <xf numFmtId="168" fontId="12" fillId="8" borderId="43" xfId="1" applyNumberFormat="1" applyFont="1" applyFill="1" applyBorder="1" applyAlignment="1">
      <alignment horizontal="right"/>
    </xf>
    <xf numFmtId="168" fontId="12" fillId="8" borderId="44" xfId="1" applyNumberFormat="1" applyFont="1" applyFill="1" applyBorder="1" applyAlignment="1">
      <alignment horizontal="right"/>
    </xf>
    <xf numFmtId="168" fontId="12" fillId="8" borderId="35" xfId="1" applyNumberFormat="1" applyFont="1" applyFill="1" applyBorder="1" applyAlignment="1">
      <alignment horizontal="right"/>
    </xf>
    <xf numFmtId="168" fontId="12" fillId="8" borderId="45" xfId="1" applyNumberFormat="1" applyFont="1" applyFill="1" applyBorder="1" applyAlignment="1">
      <alignment horizontal="right"/>
    </xf>
    <xf numFmtId="0" fontId="12" fillId="8" borderId="31" xfId="0" applyFont="1" applyFill="1" applyBorder="1" applyAlignment="1">
      <alignment wrapText="1"/>
    </xf>
    <xf numFmtId="168" fontId="12" fillId="8" borderId="31" xfId="1" applyNumberFormat="1" applyFont="1" applyFill="1" applyBorder="1" applyAlignment="1">
      <alignment wrapText="1"/>
    </xf>
    <xf numFmtId="168" fontId="12" fillId="8" borderId="48" xfId="1" applyNumberFormat="1" applyFont="1" applyFill="1" applyBorder="1" applyAlignment="1">
      <alignment wrapText="1"/>
    </xf>
    <xf numFmtId="168" fontId="0" fillId="0" borderId="0" xfId="1" applyNumberFormat="1" applyFont="1" applyBorder="1"/>
    <xf numFmtId="167" fontId="4" fillId="7" borderId="7" xfId="0" applyNumberFormat="1" applyFont="1" applyFill="1" applyBorder="1" applyAlignment="1">
      <alignment horizontal="center"/>
    </xf>
    <xf numFmtId="164" fontId="19" fillId="0" borderId="0" xfId="0" applyNumberFormat="1" applyFont="1" applyBorder="1"/>
    <xf numFmtId="0" fontId="0" fillId="0" borderId="35" xfId="0" applyBorder="1"/>
    <xf numFmtId="164" fontId="20" fillId="0" borderId="0" xfId="0" applyNumberFormat="1" applyFont="1" applyBorder="1"/>
    <xf numFmtId="165" fontId="1" fillId="2" borderId="0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9" xfId="0" applyNumberFormat="1" applyFont="1" applyBorder="1" applyAlignment="1" applyProtection="1">
      <alignment vertical="center"/>
      <protection locked="0"/>
    </xf>
    <xf numFmtId="0" fontId="1" fillId="0" borderId="18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7" fontId="4" fillId="4" borderId="6" xfId="0" applyNumberFormat="1" applyFont="1" applyFill="1" applyBorder="1" applyAlignment="1">
      <alignment horizontal="center"/>
    </xf>
    <xf numFmtId="167" fontId="4" fillId="4" borderId="7" xfId="0" applyNumberFormat="1" applyFont="1" applyFill="1" applyBorder="1" applyAlignment="1">
      <alignment horizontal="center"/>
    </xf>
    <xf numFmtId="0" fontId="0" fillId="4" borderId="7" xfId="0" applyFill="1" applyBorder="1" applyAlignment="1"/>
    <xf numFmtId="0" fontId="0" fillId="4" borderId="8" xfId="0" applyFill="1" applyBorder="1" applyAlignment="1"/>
    <xf numFmtId="166" fontId="6" fillId="5" borderId="10" xfId="0" applyNumberFormat="1" applyFont="1" applyFill="1" applyBorder="1" applyAlignment="1">
      <alignment horizontal="center" vertical="center"/>
    </xf>
    <xf numFmtId="166" fontId="6" fillId="5" borderId="11" xfId="0" applyNumberFormat="1" applyFont="1" applyFill="1" applyBorder="1" applyAlignment="1">
      <alignment horizontal="center" vertical="center"/>
    </xf>
    <xf numFmtId="167" fontId="6" fillId="5" borderId="12" xfId="0" applyNumberFormat="1" applyFont="1" applyFill="1" applyBorder="1" applyAlignment="1">
      <alignment horizontal="center" vertical="center"/>
    </xf>
    <xf numFmtId="167" fontId="6" fillId="5" borderId="13" xfId="0" applyNumberFormat="1" applyFont="1" applyFill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 vertical="center" wrapText="1"/>
    </xf>
    <xf numFmtId="167" fontId="6" fillId="0" borderId="23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7" fontId="6" fillId="0" borderId="2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167" fontId="6" fillId="0" borderId="1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167" fontId="6" fillId="0" borderId="24" xfId="0" applyNumberFormat="1" applyFont="1" applyBorder="1" applyAlignment="1">
      <alignment horizontal="center" vertical="center" wrapText="1"/>
    </xf>
    <xf numFmtId="167" fontId="4" fillId="7" borderId="34" xfId="0" applyNumberFormat="1" applyFont="1" applyFill="1" applyBorder="1" applyAlignment="1">
      <alignment horizontal="center"/>
    </xf>
    <xf numFmtId="167" fontId="4" fillId="7" borderId="4" xfId="0" applyNumberFormat="1" applyFont="1" applyFill="1" applyBorder="1" applyAlignment="1">
      <alignment horizontal="center"/>
    </xf>
    <xf numFmtId="167" fontId="4" fillId="7" borderId="5" xfId="0" applyNumberFormat="1" applyFont="1" applyFill="1" applyBorder="1" applyAlignment="1">
      <alignment horizontal="center"/>
    </xf>
    <xf numFmtId="164" fontId="12" fillId="0" borderId="30" xfId="0" applyNumberFormat="1" applyFont="1" applyBorder="1" applyAlignment="1">
      <alignment horizontal="right"/>
    </xf>
    <xf numFmtId="164" fontId="12" fillId="0" borderId="29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7" fontId="8" fillId="0" borderId="26" xfId="0" applyNumberFormat="1" applyFont="1" applyBorder="1" applyAlignment="1" applyProtection="1">
      <alignment horizontal="right" vertical="center"/>
    </xf>
    <xf numFmtId="167" fontId="8" fillId="0" borderId="27" xfId="0" applyNumberFormat="1" applyFont="1" applyBorder="1" applyAlignment="1" applyProtection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167" fontId="6" fillId="5" borderId="14" xfId="0" applyNumberFormat="1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167" fontId="6" fillId="5" borderId="11" xfId="0" applyNumberFormat="1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167" fontId="6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167" fontId="6" fillId="5" borderId="49" xfId="0" applyNumberFormat="1" applyFont="1" applyFill="1" applyBorder="1" applyAlignment="1">
      <alignment horizontal="center" vertical="center" wrapText="1"/>
    </xf>
    <xf numFmtId="167" fontId="6" fillId="5" borderId="5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8" borderId="7" xfId="0" applyFont="1" applyFill="1" applyBorder="1" applyAlignment="1">
      <alignment horizontal="center"/>
    </xf>
    <xf numFmtId="0" fontId="12" fillId="8" borderId="41" xfId="0" applyFont="1" applyFill="1" applyBorder="1" applyAlignment="1">
      <alignment horizontal="center"/>
    </xf>
    <xf numFmtId="3" fontId="12" fillId="0" borderId="1" xfId="0" applyNumberFormat="1" applyFont="1" applyBorder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9" fillId="0" borderId="0" xfId="0" applyFont="1"/>
    <xf numFmtId="0" fontId="26" fillId="8" borderId="0" xfId="0" applyFont="1" applyFill="1" applyAlignment="1">
      <alignment horizontal="center"/>
    </xf>
    <xf numFmtId="0" fontId="26" fillId="8" borderId="40" xfId="0" applyFont="1" applyFill="1" applyBorder="1" applyAlignment="1">
      <alignment horizontal="center"/>
    </xf>
    <xf numFmtId="9" fontId="0" fillId="8" borderId="0" xfId="2" applyFon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7B73C-41CB-E140-A908-D7681626367C}">
  <sheetPr>
    <pageSetUpPr fitToPage="1"/>
  </sheetPr>
  <dimension ref="A1:AK349"/>
  <sheetViews>
    <sheetView workbookViewId="0">
      <pane xSplit="6" ySplit="11" topLeftCell="Y45" activePane="bottomRight" state="frozen"/>
      <selection pane="topRight" activeCell="G1" sqref="G1"/>
      <selection pane="bottomLeft" activeCell="A12" sqref="A12"/>
      <selection pane="bottomRight" activeCell="AB61" sqref="AB61"/>
    </sheetView>
  </sheetViews>
  <sheetFormatPr baseColWidth="10" defaultColWidth="10.875" defaultRowHeight="15.75" x14ac:dyDescent="0.25"/>
  <cols>
    <col min="1" max="1" width="10.875" customWidth="1"/>
    <col min="2" max="2" width="33.25" customWidth="1"/>
    <col min="3" max="3" width="10.875" style="25"/>
    <col min="4" max="4" width="12.875" bestFit="1" customWidth="1"/>
    <col min="5" max="5" width="15" customWidth="1"/>
    <col min="6" max="6" width="12.125" customWidth="1"/>
    <col min="7" max="7" width="17.375" customWidth="1"/>
    <col min="8" max="9" width="15.75" customWidth="1"/>
    <col min="10" max="10" width="9.375" customWidth="1"/>
    <col min="11" max="11" width="14.5" customWidth="1"/>
    <col min="12" max="12" width="12.875" bestFit="1" customWidth="1"/>
    <col min="13" max="13" width="12.75" customWidth="1"/>
    <col min="14" max="15" width="11" bestFit="1" customWidth="1"/>
    <col min="16" max="16" width="11" customWidth="1"/>
    <col min="17" max="17" width="13" bestFit="1" customWidth="1"/>
    <col min="18" max="18" width="13" customWidth="1"/>
    <col min="19" max="19" width="11" bestFit="1" customWidth="1"/>
    <col min="20" max="20" width="14.75" bestFit="1" customWidth="1"/>
    <col min="21" max="22" width="11" customWidth="1"/>
    <col min="23" max="26" width="11" bestFit="1" customWidth="1"/>
    <col min="27" max="27" width="12" bestFit="1" customWidth="1"/>
    <col min="28" max="29" width="11" customWidth="1"/>
    <col min="30" max="31" width="11.875" bestFit="1" customWidth="1"/>
    <col min="32" max="33" width="11.875" customWidth="1"/>
    <col min="34" max="34" width="11" bestFit="1" customWidth="1"/>
    <col min="35" max="35" width="10.875" customWidth="1"/>
    <col min="36" max="36" width="0.125" customWidth="1"/>
    <col min="37" max="37" width="11" bestFit="1" customWidth="1"/>
  </cols>
  <sheetData>
    <row r="1" spans="1:37" x14ac:dyDescent="0.25">
      <c r="A1" s="162" t="s">
        <v>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</row>
    <row r="2" spans="1:37" ht="21" customHeight="1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1:37" ht="16.5" thickBot="1" x14ac:dyDescent="0.3">
      <c r="A3" s="164" t="s">
        <v>15</v>
      </c>
      <c r="B3" s="167">
        <v>2021</v>
      </c>
      <c r="C3" s="170"/>
      <c r="D3" s="26"/>
      <c r="E3" s="27"/>
      <c r="F3" s="27"/>
      <c r="G3" s="27" t="s">
        <v>16</v>
      </c>
      <c r="H3" s="27"/>
      <c r="I3" s="27"/>
      <c r="J3" s="27"/>
      <c r="K3" s="27"/>
      <c r="L3" s="189" t="s">
        <v>0</v>
      </c>
      <c r="M3" s="190"/>
      <c r="N3" s="190"/>
      <c r="O3" s="191"/>
      <c r="P3" s="158"/>
      <c r="Q3" s="173" t="s">
        <v>17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  <c r="AF3" s="175"/>
      <c r="AG3" s="175"/>
      <c r="AH3" s="175"/>
      <c r="AI3" s="175"/>
      <c r="AJ3" s="175"/>
      <c r="AK3" s="176"/>
    </row>
    <row r="4" spans="1:37" ht="20.45" customHeight="1" x14ac:dyDescent="0.25">
      <c r="A4" s="165"/>
      <c r="B4" s="168"/>
      <c r="C4" s="171"/>
      <c r="D4" s="177" t="s">
        <v>45</v>
      </c>
      <c r="E4" s="178"/>
      <c r="F4" s="177" t="s">
        <v>46</v>
      </c>
      <c r="G4" s="178"/>
      <c r="H4" s="177" t="s">
        <v>271</v>
      </c>
      <c r="I4" s="178"/>
      <c r="J4" s="179"/>
      <c r="K4" s="180"/>
      <c r="L4" s="199" t="s">
        <v>47</v>
      </c>
      <c r="M4" s="201" t="s">
        <v>48</v>
      </c>
      <c r="N4" s="201" t="s">
        <v>49</v>
      </c>
      <c r="O4" s="201" t="s">
        <v>50</v>
      </c>
      <c r="P4" s="205" t="s">
        <v>208</v>
      </c>
      <c r="Q4" s="203" t="s">
        <v>51</v>
      </c>
      <c r="R4" s="186" t="s">
        <v>209</v>
      </c>
      <c r="S4" s="181" t="s">
        <v>52</v>
      </c>
      <c r="T4" s="181" t="s">
        <v>53</v>
      </c>
      <c r="U4" s="186" t="s">
        <v>54</v>
      </c>
      <c r="V4" s="186" t="s">
        <v>55</v>
      </c>
      <c r="W4" s="181" t="s">
        <v>56</v>
      </c>
      <c r="X4" s="181" t="s">
        <v>57</v>
      </c>
      <c r="Y4" s="181" t="s">
        <v>58</v>
      </c>
      <c r="Z4" s="181" t="s">
        <v>59</v>
      </c>
      <c r="AA4" s="1" t="s">
        <v>60</v>
      </c>
      <c r="AB4" s="186" t="s">
        <v>75</v>
      </c>
      <c r="AC4" s="186" t="s">
        <v>210</v>
      </c>
      <c r="AD4" s="186" t="s">
        <v>211</v>
      </c>
      <c r="AE4" s="181" t="s">
        <v>65</v>
      </c>
      <c r="AF4" s="186" t="s">
        <v>72</v>
      </c>
      <c r="AG4" s="186" t="s">
        <v>73</v>
      </c>
      <c r="AH4" s="181" t="s">
        <v>61</v>
      </c>
      <c r="AI4" s="181" t="s">
        <v>67</v>
      </c>
      <c r="AJ4" s="183"/>
      <c r="AK4" s="183" t="s">
        <v>62</v>
      </c>
    </row>
    <row r="5" spans="1:37" ht="16.5" thickBot="1" x14ac:dyDescent="0.3">
      <c r="A5" s="166"/>
      <c r="B5" s="169"/>
      <c r="C5" s="172"/>
      <c r="D5" s="2" t="s">
        <v>5</v>
      </c>
      <c r="E5" s="3" t="s">
        <v>6</v>
      </c>
      <c r="F5" s="4" t="s">
        <v>5</v>
      </c>
      <c r="G5" s="5" t="s">
        <v>6</v>
      </c>
      <c r="H5" s="4" t="s">
        <v>5</v>
      </c>
      <c r="I5" s="5" t="s">
        <v>6</v>
      </c>
      <c r="J5" s="4" t="s">
        <v>5</v>
      </c>
      <c r="K5" s="5" t="s">
        <v>6</v>
      </c>
      <c r="L5" s="200"/>
      <c r="M5" s="202"/>
      <c r="N5" s="202"/>
      <c r="O5" s="202"/>
      <c r="P5" s="206"/>
      <c r="Q5" s="204"/>
      <c r="R5" s="188"/>
      <c r="S5" s="185"/>
      <c r="T5" s="185"/>
      <c r="U5" s="188"/>
      <c r="V5" s="188"/>
      <c r="W5" s="185"/>
      <c r="X5" s="198"/>
      <c r="Y5" s="198"/>
      <c r="Z5" s="185"/>
      <c r="AA5" s="67" t="s">
        <v>19</v>
      </c>
      <c r="AB5" s="188"/>
      <c r="AC5" s="188"/>
      <c r="AD5" s="187"/>
      <c r="AE5" s="182"/>
      <c r="AF5" s="188"/>
      <c r="AG5" s="188"/>
      <c r="AH5" s="182"/>
      <c r="AI5" s="182"/>
      <c r="AJ5" s="184"/>
      <c r="AK5" s="184"/>
    </row>
    <row r="6" spans="1:37" s="71" customFormat="1" x14ac:dyDescent="0.25">
      <c r="A6" s="69"/>
      <c r="B6" s="196" t="s">
        <v>7</v>
      </c>
      <c r="C6" s="197"/>
      <c r="D6" s="70">
        <f>SUM(D15:D256)</f>
        <v>244919.99000000002</v>
      </c>
      <c r="E6" s="70">
        <f>SUM(E15:E256)</f>
        <v>234139.88000000003</v>
      </c>
      <c r="F6" s="70">
        <f t="shared" ref="F6:AK6" si="0">SUM(F15:F256)</f>
        <v>2475.7599999999998</v>
      </c>
      <c r="G6" s="70">
        <f t="shared" si="0"/>
        <v>3136</v>
      </c>
      <c r="H6" s="70">
        <f t="shared" si="0"/>
        <v>0</v>
      </c>
      <c r="I6" s="70">
        <f t="shared" si="0"/>
        <v>25000</v>
      </c>
      <c r="J6" s="70">
        <f>SUM(J15:J256)</f>
        <v>0</v>
      </c>
      <c r="K6" s="70">
        <f>SUM(K15:K256)</f>
        <v>0</v>
      </c>
      <c r="L6" s="70">
        <f t="shared" si="0"/>
        <v>169204.7</v>
      </c>
      <c r="M6" s="70">
        <f t="shared" si="0"/>
        <v>55106</v>
      </c>
      <c r="N6" s="70">
        <f t="shared" si="0"/>
        <v>168.78</v>
      </c>
      <c r="O6" s="70">
        <f t="shared" si="0"/>
        <v>0</v>
      </c>
      <c r="P6" s="70">
        <f t="shared" si="0"/>
        <v>20440.510000000002</v>
      </c>
      <c r="Q6" s="70">
        <f t="shared" si="0"/>
        <v>0</v>
      </c>
      <c r="R6" s="70">
        <f t="shared" si="0"/>
        <v>157693.1</v>
      </c>
      <c r="S6" s="70">
        <f t="shared" si="0"/>
        <v>0</v>
      </c>
      <c r="T6" s="70">
        <f t="shared" si="0"/>
        <v>9887.5</v>
      </c>
      <c r="U6" s="70">
        <f t="shared" si="0"/>
        <v>2562.6999999999998</v>
      </c>
      <c r="V6" s="70">
        <f t="shared" si="0"/>
        <v>0</v>
      </c>
      <c r="W6" s="70">
        <f t="shared" si="0"/>
        <v>445</v>
      </c>
      <c r="X6" s="70">
        <f t="shared" si="0"/>
        <v>1319.17</v>
      </c>
      <c r="Y6" s="70">
        <f t="shared" si="0"/>
        <v>490</v>
      </c>
      <c r="Z6" s="70">
        <f t="shared" si="0"/>
        <v>0</v>
      </c>
      <c r="AA6" s="70">
        <f t="shared" si="0"/>
        <v>12219.5</v>
      </c>
      <c r="AB6" s="70">
        <f t="shared" si="0"/>
        <v>4024</v>
      </c>
      <c r="AC6" s="70">
        <f t="shared" si="0"/>
        <v>2073.02</v>
      </c>
      <c r="AD6" s="70">
        <f t="shared" si="0"/>
        <v>29255</v>
      </c>
      <c r="AE6" s="70">
        <f t="shared" si="0"/>
        <v>25000</v>
      </c>
      <c r="AF6" s="70">
        <f t="shared" si="0"/>
        <v>5005</v>
      </c>
      <c r="AG6" s="70">
        <f t="shared" si="0"/>
        <v>6125.63</v>
      </c>
      <c r="AH6" s="70">
        <f t="shared" si="0"/>
        <v>3438.7</v>
      </c>
      <c r="AI6" s="70">
        <f t="shared" si="0"/>
        <v>0</v>
      </c>
      <c r="AJ6" s="70">
        <f t="shared" si="0"/>
        <v>0</v>
      </c>
      <c r="AK6" s="70">
        <f t="shared" si="0"/>
        <v>261.8</v>
      </c>
    </row>
    <row r="7" spans="1:37" x14ac:dyDescent="0.25">
      <c r="A7" s="6"/>
      <c r="C7" s="1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F7" s="70"/>
      <c r="AG7" s="72"/>
      <c r="AH7" s="29"/>
      <c r="AI7" s="29"/>
      <c r="AJ7" s="29"/>
      <c r="AK7" s="29"/>
    </row>
    <row r="8" spans="1:37" ht="16.5" thickBot="1" x14ac:dyDescent="0.3">
      <c r="A8" s="7"/>
      <c r="B8" s="8" t="s">
        <v>8</v>
      </c>
      <c r="C8" s="20"/>
      <c r="D8" s="30">
        <f>D12+D6-E6</f>
        <v>339337.51</v>
      </c>
      <c r="E8" s="31"/>
      <c r="F8" s="30">
        <f>F12+F6-G6</f>
        <v>-3136.0000000000005</v>
      </c>
      <c r="G8" s="31"/>
      <c r="H8" s="30">
        <f>H12+H6-I6</f>
        <v>-25000</v>
      </c>
      <c r="I8" s="31"/>
      <c r="J8" s="30">
        <f>J12+J6-K6</f>
        <v>0</v>
      </c>
      <c r="K8" s="192" t="s">
        <v>9</v>
      </c>
      <c r="L8" s="193"/>
      <c r="M8" s="32">
        <f>L6+M6+N6+O6+P6</f>
        <v>244919.99000000002</v>
      </c>
      <c r="N8" s="29"/>
      <c r="O8" s="194" t="s">
        <v>10</v>
      </c>
      <c r="P8" s="194"/>
      <c r="Q8" s="194"/>
      <c r="R8" s="194"/>
      <c r="S8" s="194"/>
      <c r="T8" s="32">
        <f>SUM(Q6:AK6)</f>
        <v>259800.12000000002</v>
      </c>
      <c r="U8" s="55"/>
      <c r="V8" s="55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x14ac:dyDescent="0.25">
      <c r="A9" s="9"/>
      <c r="B9" s="10"/>
      <c r="C9" s="2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6.5" thickBot="1" x14ac:dyDescent="0.3">
      <c r="A10" s="9"/>
      <c r="B10" s="195" t="s">
        <v>11</v>
      </c>
      <c r="C10" s="195"/>
      <c r="D10" s="33">
        <f>E6+G6+I6+K6-T8-D6-F6-H6-J6+M8</f>
        <v>0</v>
      </c>
      <c r="E10" s="29"/>
      <c r="F10" s="29"/>
      <c r="G10" s="34"/>
      <c r="H10" s="29"/>
      <c r="I10" s="29"/>
      <c r="J10" s="29"/>
      <c r="K10" s="29"/>
      <c r="L10" s="29"/>
      <c r="M10" s="29"/>
      <c r="N10" s="53" t="s">
        <v>220</v>
      </c>
      <c r="O10" s="53"/>
      <c r="P10" s="53"/>
      <c r="Q10" s="53">
        <f>M8-T8</f>
        <v>-14880.130000000005</v>
      </c>
      <c r="R10" s="15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5"/>
      <c r="AF10" s="35"/>
      <c r="AG10" s="35"/>
      <c r="AH10" s="35"/>
      <c r="AI10" s="35"/>
      <c r="AJ10" s="35"/>
      <c r="AK10" s="35"/>
    </row>
    <row r="11" spans="1:37" ht="16.5" thickTop="1" x14ac:dyDescent="0.25">
      <c r="A11" s="11"/>
      <c r="B11" s="12"/>
      <c r="C11" s="22"/>
      <c r="D11" s="36"/>
      <c r="E11" s="37"/>
      <c r="F11" s="37"/>
      <c r="G11" s="3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9"/>
      <c r="AF11" s="39"/>
      <c r="AG11" s="39"/>
      <c r="AH11" s="39"/>
      <c r="AI11" s="39"/>
      <c r="AJ11" s="39"/>
      <c r="AK11" s="39"/>
    </row>
    <row r="12" spans="1:37" x14ac:dyDescent="0.25">
      <c r="A12" s="11"/>
      <c r="B12" s="68" t="s">
        <v>63</v>
      </c>
      <c r="C12" s="23"/>
      <c r="D12" s="40">
        <v>328557.40000000002</v>
      </c>
      <c r="E12" s="41"/>
      <c r="F12" s="40">
        <v>-2475.7600000000002</v>
      </c>
      <c r="G12" s="41"/>
      <c r="H12" s="40"/>
      <c r="I12" s="41"/>
      <c r="J12" s="40"/>
      <c r="K12" s="42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ht="16.5" thickBot="1" x14ac:dyDescent="0.3">
      <c r="A13" s="13"/>
      <c r="B13" s="14"/>
      <c r="C13" s="24"/>
      <c r="D13" s="43"/>
      <c r="E13" s="43"/>
      <c r="F13" s="43"/>
      <c r="G13" s="43"/>
      <c r="H13" s="43"/>
      <c r="I13" s="43"/>
      <c r="J13" s="43"/>
      <c r="K13" s="43"/>
      <c r="L13" s="44"/>
      <c r="M13" s="44"/>
      <c r="N13" s="44"/>
      <c r="O13" s="44"/>
      <c r="P13" s="44"/>
      <c r="Q13" s="45"/>
      <c r="R13" s="45"/>
      <c r="S13" s="45"/>
      <c r="T13" s="45"/>
      <c r="U13" s="45"/>
      <c r="V13" s="45"/>
      <c r="W13" s="45"/>
      <c r="X13" s="46"/>
      <c r="Y13" s="46"/>
      <c r="Z13" s="47"/>
      <c r="AA13" s="47"/>
      <c r="AB13" s="47"/>
      <c r="AC13" s="47"/>
      <c r="AD13" s="47"/>
      <c r="AE13" s="46"/>
      <c r="AF13" s="46"/>
      <c r="AG13" s="46"/>
      <c r="AH13" s="46"/>
      <c r="AI13" s="46"/>
      <c r="AJ13" s="46"/>
      <c r="AK13" s="46"/>
    </row>
    <row r="14" spans="1:37" ht="16.5" thickBot="1" x14ac:dyDescent="0.3">
      <c r="A14" s="15" t="s">
        <v>12</v>
      </c>
      <c r="B14" s="16" t="s">
        <v>13</v>
      </c>
      <c r="C14" s="17" t="s">
        <v>14</v>
      </c>
      <c r="D14" s="48"/>
      <c r="E14" s="49"/>
      <c r="F14" s="48"/>
      <c r="G14" s="49"/>
      <c r="H14" s="48"/>
      <c r="I14" s="49"/>
      <c r="J14" s="48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x14ac:dyDescent="0.25">
      <c r="A15" s="18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x14ac:dyDescent="0.25">
      <c r="A16" s="18">
        <v>44200</v>
      </c>
      <c r="B16" t="s">
        <v>212</v>
      </c>
      <c r="C16" s="25">
        <v>1</v>
      </c>
      <c r="D16" s="51"/>
      <c r="E16" s="51">
        <v>770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>
        <v>770</v>
      </c>
      <c r="AE16" s="51"/>
      <c r="AF16" s="51"/>
      <c r="AG16" s="51"/>
      <c r="AH16" s="51"/>
      <c r="AI16" s="51"/>
      <c r="AJ16" s="51"/>
      <c r="AK16" s="51"/>
    </row>
    <row r="17" spans="1:37" x14ac:dyDescent="0.25">
      <c r="A17" s="18">
        <v>44211</v>
      </c>
      <c r="B17" t="s">
        <v>213</v>
      </c>
      <c r="C17" s="25">
        <v>2</v>
      </c>
      <c r="D17" s="51"/>
      <c r="E17" s="51">
        <v>490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>
        <v>490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x14ac:dyDescent="0.25">
      <c r="A18" s="18">
        <v>44216</v>
      </c>
      <c r="B18" t="s">
        <v>214</v>
      </c>
      <c r="C18" s="25">
        <v>3</v>
      </c>
      <c r="D18" s="51">
        <v>5283.97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>
        <v>5283.97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x14ac:dyDescent="0.25">
      <c r="A19" s="18">
        <v>44223</v>
      </c>
      <c r="B19" t="s">
        <v>215</v>
      </c>
      <c r="C19" s="25">
        <v>4</v>
      </c>
      <c r="D19" s="51"/>
      <c r="E19" s="51">
        <v>12219.5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>
        <v>12219.5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x14ac:dyDescent="0.25">
      <c r="A20" s="18">
        <v>44230</v>
      </c>
      <c r="B20" t="s">
        <v>216</v>
      </c>
      <c r="C20" s="25">
        <v>5</v>
      </c>
      <c r="D20" s="51"/>
      <c r="E20" s="51">
        <v>22500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>
        <v>22500</v>
      </c>
      <c r="AE20" s="51"/>
      <c r="AF20" s="51"/>
      <c r="AG20" s="51"/>
      <c r="AH20" s="51"/>
      <c r="AI20" s="51"/>
      <c r="AJ20" s="51"/>
      <c r="AK20" s="51"/>
    </row>
    <row r="21" spans="1:37" x14ac:dyDescent="0.25">
      <c r="A21" s="18">
        <v>44259</v>
      </c>
      <c r="B21" t="s">
        <v>214</v>
      </c>
      <c r="C21" s="25">
        <v>6</v>
      </c>
      <c r="D21" s="51">
        <v>1062.47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>
        <v>1062.47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x14ac:dyDescent="0.25">
      <c r="A22" s="18">
        <v>44274</v>
      </c>
      <c r="B22" t="s">
        <v>217</v>
      </c>
      <c r="C22" s="25">
        <v>7</v>
      </c>
      <c r="D22" s="51"/>
      <c r="E22" s="51">
        <v>1530.1</v>
      </c>
      <c r="F22" s="51">
        <v>1530.1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x14ac:dyDescent="0.25">
      <c r="A23" s="18">
        <v>44274</v>
      </c>
      <c r="B23" t="s">
        <v>217</v>
      </c>
      <c r="C23" s="25">
        <v>8</v>
      </c>
      <c r="D23" s="51"/>
      <c r="E23" s="51">
        <v>288.12</v>
      </c>
      <c r="F23" s="51">
        <v>288.12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x14ac:dyDescent="0.25">
      <c r="A24" s="18">
        <v>44274</v>
      </c>
      <c r="B24" t="s">
        <v>217</v>
      </c>
      <c r="C24" s="25">
        <v>9</v>
      </c>
      <c r="D24" s="51"/>
      <c r="E24" s="51">
        <v>657.54</v>
      </c>
      <c r="F24" s="51">
        <v>657.54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x14ac:dyDescent="0.25">
      <c r="A25" s="18">
        <v>44328</v>
      </c>
      <c r="B25" t="s">
        <v>218</v>
      </c>
      <c r="C25" s="25">
        <v>10</v>
      </c>
      <c r="D25" s="51">
        <v>8000</v>
      </c>
      <c r="E25" s="51"/>
      <c r="F25" s="51"/>
      <c r="G25" s="51"/>
      <c r="H25" s="51"/>
      <c r="I25" s="51"/>
      <c r="J25" s="51"/>
      <c r="K25" s="51"/>
      <c r="L25" s="51">
        <v>8000</v>
      </c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x14ac:dyDescent="0.25">
      <c r="A26" s="18">
        <v>44344</v>
      </c>
      <c r="B26" t="s">
        <v>219</v>
      </c>
      <c r="C26" s="25">
        <v>11</v>
      </c>
      <c r="D26" s="51"/>
      <c r="E26" s="51">
        <v>8950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>
        <v>8950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x14ac:dyDescent="0.25">
      <c r="A27" s="18">
        <v>44364</v>
      </c>
      <c r="B27" t="s">
        <v>221</v>
      </c>
      <c r="C27" s="25">
        <v>12</v>
      </c>
      <c r="D27" s="51"/>
      <c r="E27" s="51">
        <v>2462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>
        <v>2462</v>
      </c>
      <c r="AG27" s="51"/>
      <c r="AH27" s="51"/>
      <c r="AI27" s="51"/>
      <c r="AJ27" s="51"/>
      <c r="AK27" s="51"/>
    </row>
    <row r="28" spans="1:37" x14ac:dyDescent="0.25">
      <c r="A28" s="18">
        <v>44368</v>
      </c>
      <c r="B28" t="s">
        <v>214</v>
      </c>
      <c r="C28" s="25">
        <v>13</v>
      </c>
      <c r="D28" s="51">
        <v>1584.92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>
        <v>1584.92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x14ac:dyDescent="0.25">
      <c r="A29" s="18">
        <v>44369</v>
      </c>
      <c r="B29" t="s">
        <v>222</v>
      </c>
      <c r="C29" s="25">
        <v>14</v>
      </c>
      <c r="D29" s="51"/>
      <c r="E29" s="51">
        <v>445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>
        <v>445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x14ac:dyDescent="0.25">
      <c r="A30" s="18">
        <v>44369</v>
      </c>
      <c r="B30" t="s">
        <v>221</v>
      </c>
      <c r="C30" s="25">
        <v>15</v>
      </c>
      <c r="D30" s="51"/>
      <c r="E30" s="51">
        <v>2543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>
        <v>2543</v>
      </c>
      <c r="AG30" s="51"/>
      <c r="AH30" s="51"/>
      <c r="AI30" s="51"/>
      <c r="AJ30" s="51"/>
      <c r="AK30" s="51"/>
    </row>
    <row r="31" spans="1:37" x14ac:dyDescent="0.25">
      <c r="A31" s="18">
        <v>44406</v>
      </c>
      <c r="B31" t="s">
        <v>223</v>
      </c>
      <c r="C31" s="25">
        <v>16</v>
      </c>
      <c r="D31" s="51">
        <v>14943.43</v>
      </c>
      <c r="E31" s="51"/>
      <c r="F31" s="51"/>
      <c r="G31" s="51"/>
      <c r="H31" s="51"/>
      <c r="I31" s="51"/>
      <c r="J31" s="51"/>
      <c r="K31" s="51"/>
      <c r="L31" s="51">
        <v>14943.43</v>
      </c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x14ac:dyDescent="0.25">
      <c r="A32" s="18">
        <v>44449</v>
      </c>
      <c r="B32" t="s">
        <v>214</v>
      </c>
      <c r="C32" s="25">
        <v>17</v>
      </c>
      <c r="D32" s="51">
        <v>1195.99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>
        <v>1195.99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1:37" x14ac:dyDescent="0.25">
      <c r="A33" s="18">
        <v>44476</v>
      </c>
      <c r="B33" t="s">
        <v>224</v>
      </c>
      <c r="C33" s="25">
        <v>18</v>
      </c>
      <c r="D33" s="51"/>
      <c r="E33" s="51">
        <v>5655.1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>
        <v>4970</v>
      </c>
      <c r="U33" s="51">
        <v>685.1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x14ac:dyDescent="0.25">
      <c r="A34" s="18">
        <v>44476</v>
      </c>
      <c r="B34" t="s">
        <v>225</v>
      </c>
      <c r="C34" s="25">
        <v>19</v>
      </c>
      <c r="D34" s="51"/>
      <c r="E34" s="51">
        <v>14837.22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f>195+1158.3+272+1903.6+1011.6+2066.1</f>
        <v>6606.6</v>
      </c>
      <c r="S34" s="51"/>
      <c r="T34" s="51">
        <f>665+2187.5+2065</f>
        <v>4917.5</v>
      </c>
      <c r="U34" s="51">
        <f>318.4+398.4+168.8</f>
        <v>885.59999999999991</v>
      </c>
      <c r="V34" s="51"/>
      <c r="W34" s="51"/>
      <c r="X34" s="51"/>
      <c r="Y34" s="51"/>
      <c r="Z34" s="51"/>
      <c r="AA34" s="51"/>
      <c r="AB34" s="51">
        <v>888</v>
      </c>
      <c r="AC34" s="51">
        <f>529.22+432+578.3</f>
        <v>1539.52</v>
      </c>
      <c r="AD34" s="51"/>
      <c r="AE34" s="51"/>
      <c r="AF34" s="51"/>
      <c r="AG34" s="51"/>
      <c r="AH34" s="51"/>
      <c r="AI34" s="51"/>
      <c r="AJ34" s="51"/>
      <c r="AK34" s="51"/>
    </row>
    <row r="35" spans="1:37" x14ac:dyDescent="0.25">
      <c r="A35" s="18">
        <v>44477</v>
      </c>
      <c r="B35" t="s">
        <v>226</v>
      </c>
      <c r="C35" s="25">
        <v>20</v>
      </c>
      <c r="D35" s="51"/>
      <c r="E35" s="51">
        <v>7425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7425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x14ac:dyDescent="0.25">
      <c r="A36" s="18">
        <v>44487</v>
      </c>
      <c r="B36" t="s">
        <v>227</v>
      </c>
      <c r="C36" s="25">
        <v>21</v>
      </c>
      <c r="D36" s="51"/>
      <c r="E36" s="51">
        <v>7500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v>7500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x14ac:dyDescent="0.25">
      <c r="A37" s="18">
        <v>44491</v>
      </c>
      <c r="B37" t="s">
        <v>228</v>
      </c>
      <c r="C37" s="25">
        <v>22</v>
      </c>
      <c r="D37" s="51"/>
      <c r="E37" s="51">
        <v>126312.5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>
        <v>126312.5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x14ac:dyDescent="0.25">
      <c r="A38" s="18">
        <v>44491</v>
      </c>
      <c r="B38" t="s">
        <v>214</v>
      </c>
      <c r="C38" s="25">
        <v>23</v>
      </c>
      <c r="D38" s="51">
        <v>1204.92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>
        <v>1204.92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x14ac:dyDescent="0.25">
      <c r="A39" s="18">
        <v>44508</v>
      </c>
      <c r="B39" t="s">
        <v>214</v>
      </c>
      <c r="C39" s="25">
        <v>24</v>
      </c>
      <c r="D39" s="51">
        <v>5915.15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>
        <v>5915.15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x14ac:dyDescent="0.25">
      <c r="A40" s="18">
        <v>44518</v>
      </c>
      <c r="B40" t="s">
        <v>229</v>
      </c>
      <c r="C40" s="25">
        <v>25</v>
      </c>
      <c r="D40" s="51">
        <v>7950</v>
      </c>
      <c r="E40" s="51"/>
      <c r="F40" s="51"/>
      <c r="G40" s="51"/>
      <c r="H40" s="51"/>
      <c r="I40" s="51"/>
      <c r="J40" s="51"/>
      <c r="K40" s="51"/>
      <c r="L40" s="51">
        <v>7950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x14ac:dyDescent="0.25">
      <c r="A41" s="18">
        <v>44531</v>
      </c>
      <c r="B41" t="s">
        <v>230</v>
      </c>
      <c r="C41" s="25">
        <v>26</v>
      </c>
      <c r="D41" s="51"/>
      <c r="E41" s="51">
        <v>5985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>
        <v>5985</v>
      </c>
      <c r="AE41" s="51"/>
      <c r="AF41" s="51"/>
      <c r="AG41" s="51"/>
      <c r="AH41" s="51"/>
      <c r="AI41" s="51"/>
      <c r="AJ41" s="51"/>
      <c r="AK41" s="51"/>
    </row>
    <row r="42" spans="1:37" x14ac:dyDescent="0.25">
      <c r="A42" s="18">
        <v>44536</v>
      </c>
      <c r="B42" t="s">
        <v>231</v>
      </c>
      <c r="C42" s="25">
        <v>27</v>
      </c>
      <c r="D42" s="51">
        <v>10357.4</v>
      </c>
      <c r="E42" s="51"/>
      <c r="F42" s="51"/>
      <c r="G42" s="51"/>
      <c r="H42" s="51"/>
      <c r="I42" s="51"/>
      <c r="J42" s="51"/>
      <c r="K42" s="51"/>
      <c r="L42" s="51">
        <v>10357.4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x14ac:dyDescent="0.25">
      <c r="A43" s="18">
        <v>44536</v>
      </c>
      <c r="B43" t="s">
        <v>232</v>
      </c>
      <c r="C43" s="25">
        <v>28</v>
      </c>
      <c r="D43" s="51">
        <v>50000</v>
      </c>
      <c r="E43" s="51"/>
      <c r="F43" s="51"/>
      <c r="G43" s="51"/>
      <c r="H43" s="51"/>
      <c r="I43" s="51"/>
      <c r="J43" s="51"/>
      <c r="K43" s="51"/>
      <c r="L43" s="51">
        <v>50000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x14ac:dyDescent="0.25">
      <c r="A44" s="18">
        <v>44538</v>
      </c>
      <c r="B44" t="s">
        <v>214</v>
      </c>
      <c r="C44" s="25">
        <v>29</v>
      </c>
      <c r="D44" s="51">
        <v>4193.09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>
        <v>4193.09</v>
      </c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x14ac:dyDescent="0.25">
      <c r="A45" s="18">
        <v>44546</v>
      </c>
      <c r="B45" t="s">
        <v>233</v>
      </c>
      <c r="C45" s="25">
        <v>30</v>
      </c>
      <c r="D45" s="51"/>
      <c r="E45" s="51">
        <v>261.8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>
        <v>261.8</v>
      </c>
    </row>
    <row r="46" spans="1:37" x14ac:dyDescent="0.25">
      <c r="A46" s="18">
        <v>44546</v>
      </c>
      <c r="B46" t="s">
        <v>234</v>
      </c>
      <c r="C46" s="25">
        <v>31</v>
      </c>
      <c r="D46" s="51"/>
      <c r="E46" s="51">
        <v>496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>
        <v>496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x14ac:dyDescent="0.25">
      <c r="A47" s="18">
        <v>44546</v>
      </c>
      <c r="B47" t="s">
        <v>235</v>
      </c>
      <c r="C47" s="25">
        <v>32</v>
      </c>
      <c r="D47" s="51"/>
      <c r="E47" s="51">
        <v>496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>
        <v>496</v>
      </c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x14ac:dyDescent="0.25">
      <c r="A48" s="18">
        <v>44546</v>
      </c>
      <c r="B48" t="s">
        <v>236</v>
      </c>
      <c r="C48" s="25">
        <v>33</v>
      </c>
      <c r="D48" s="51"/>
      <c r="E48" s="51">
        <v>1319.17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>
        <v>1319.17</v>
      </c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x14ac:dyDescent="0.25">
      <c r="A49" s="18">
        <v>44546</v>
      </c>
      <c r="B49" t="s">
        <v>237</v>
      </c>
      <c r="C49" s="25">
        <v>34</v>
      </c>
      <c r="D49" s="51"/>
      <c r="E49" s="51">
        <v>899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>
        <v>899</v>
      </c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1:37" x14ac:dyDescent="0.25">
      <c r="A50" s="18">
        <v>44550</v>
      </c>
      <c r="B50" t="s">
        <v>238</v>
      </c>
      <c r="C50" s="25">
        <v>35</v>
      </c>
      <c r="D50" s="51">
        <v>25000</v>
      </c>
      <c r="E50" s="51"/>
      <c r="F50" s="51"/>
      <c r="G50" s="51"/>
      <c r="H50" s="51"/>
      <c r="I50" s="51"/>
      <c r="J50" s="51"/>
      <c r="K50" s="51"/>
      <c r="L50" s="51">
        <v>25000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1:37" x14ac:dyDescent="0.25">
      <c r="A51" s="18">
        <v>44561</v>
      </c>
      <c r="B51" t="s">
        <v>239</v>
      </c>
      <c r="C51" s="25">
        <v>36</v>
      </c>
      <c r="D51" s="51">
        <v>15818.17</v>
      </c>
      <c r="E51" s="51"/>
      <c r="F51" s="51"/>
      <c r="G51" s="51"/>
      <c r="H51" s="51"/>
      <c r="I51" s="51"/>
      <c r="J51" s="51"/>
      <c r="K51" s="51"/>
      <c r="L51" s="51">
        <v>12674.17</v>
      </c>
      <c r="M51" s="51">
        <v>3144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1:37" x14ac:dyDescent="0.25">
      <c r="A52" s="18">
        <v>44561</v>
      </c>
      <c r="B52" t="s">
        <v>240</v>
      </c>
      <c r="C52" s="25">
        <v>37</v>
      </c>
      <c r="D52" s="51">
        <v>61850</v>
      </c>
      <c r="E52" s="51"/>
      <c r="F52" s="51"/>
      <c r="G52" s="51"/>
      <c r="H52" s="51"/>
      <c r="I52" s="51"/>
      <c r="J52" s="51"/>
      <c r="K52" s="51"/>
      <c r="L52" s="51">
        <v>9888</v>
      </c>
      <c r="M52" s="51">
        <v>51962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1:37" x14ac:dyDescent="0.25">
      <c r="A53" s="18">
        <v>44561</v>
      </c>
      <c r="B53" t="s">
        <v>241</v>
      </c>
      <c r="C53" s="25">
        <v>38</v>
      </c>
      <c r="D53" s="51"/>
      <c r="E53" s="51">
        <v>6125.63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>
        <v>6125.63</v>
      </c>
      <c r="AH53" s="51"/>
      <c r="AI53" s="51"/>
      <c r="AJ53" s="51"/>
      <c r="AK53" s="51"/>
    </row>
    <row r="54" spans="1:37" x14ac:dyDescent="0.25">
      <c r="A54" s="18">
        <v>44561</v>
      </c>
      <c r="B54" t="s">
        <v>242</v>
      </c>
      <c r="C54" s="25">
        <v>39</v>
      </c>
      <c r="D54" s="51">
        <v>17219.7</v>
      </c>
      <c r="E54" s="51"/>
      <c r="F54" s="51"/>
      <c r="G54" s="51"/>
      <c r="H54" s="51"/>
      <c r="I54" s="51"/>
      <c r="J54" s="51"/>
      <c r="K54" s="51"/>
      <c r="L54" s="51">
        <v>17219.7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37" x14ac:dyDescent="0.25">
      <c r="A55" s="18">
        <v>44561</v>
      </c>
      <c r="B55" t="s">
        <v>243</v>
      </c>
      <c r="C55" s="25">
        <v>40</v>
      </c>
      <c r="D55" s="51">
        <v>12172</v>
      </c>
      <c r="E55" s="51"/>
      <c r="F55" s="51"/>
      <c r="G55" s="51"/>
      <c r="H55" s="51"/>
      <c r="I55" s="51"/>
      <c r="J55" s="51"/>
      <c r="K55" s="51"/>
      <c r="L55" s="51">
        <v>12172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x14ac:dyDescent="0.25">
      <c r="A56" s="18">
        <v>44561</v>
      </c>
      <c r="B56" t="s">
        <v>244</v>
      </c>
      <c r="C56" s="25">
        <v>41</v>
      </c>
      <c r="D56" s="51"/>
      <c r="E56" s="51">
        <v>3438.7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>
        <v>3438.7</v>
      </c>
      <c r="AI56" s="51"/>
      <c r="AJ56" s="51"/>
      <c r="AK56" s="51"/>
    </row>
    <row r="57" spans="1:37" x14ac:dyDescent="0.25">
      <c r="A57" s="18">
        <v>44561</v>
      </c>
      <c r="B57" t="s">
        <v>245</v>
      </c>
      <c r="C57" s="25">
        <v>42</v>
      </c>
      <c r="D57" s="51">
        <v>168.78</v>
      </c>
      <c r="E57" s="51"/>
      <c r="F57" s="51"/>
      <c r="G57" s="51"/>
      <c r="H57" s="51"/>
      <c r="I57" s="51"/>
      <c r="J57" s="51"/>
      <c r="K57" s="51"/>
      <c r="L57" s="51"/>
      <c r="M57" s="51"/>
      <c r="N57" s="51">
        <v>168.78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37" x14ac:dyDescent="0.25">
      <c r="A58" s="18">
        <v>44546</v>
      </c>
      <c r="B58" t="s">
        <v>247</v>
      </c>
      <c r="C58" s="25">
        <v>43</v>
      </c>
      <c r="D58" s="51"/>
      <c r="E58" s="51">
        <v>533.5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>
        <v>533.5</v>
      </c>
      <c r="AD58" s="51"/>
      <c r="AE58" s="51"/>
      <c r="AF58" s="51"/>
      <c r="AG58" s="51"/>
      <c r="AH58" s="51"/>
      <c r="AI58" s="51"/>
      <c r="AJ58" s="51"/>
      <c r="AK58" s="51"/>
    </row>
    <row r="59" spans="1:37" x14ac:dyDescent="0.25">
      <c r="A59" s="18">
        <v>44496</v>
      </c>
      <c r="B59" t="s">
        <v>248</v>
      </c>
      <c r="C59" s="25">
        <v>44</v>
      </c>
      <c r="D59" s="51">
        <v>1000</v>
      </c>
      <c r="E59" s="51"/>
      <c r="F59" s="51"/>
      <c r="G59" s="51"/>
      <c r="H59" s="51"/>
      <c r="I59" s="51"/>
      <c r="J59" s="51"/>
      <c r="K59" s="51"/>
      <c r="L59" s="51">
        <v>1000</v>
      </c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x14ac:dyDescent="0.25">
      <c r="A60" s="18">
        <v>44561</v>
      </c>
      <c r="B60" t="s">
        <v>270</v>
      </c>
      <c r="C60" s="25">
        <v>45</v>
      </c>
      <c r="D60" s="51"/>
      <c r="E60" s="51"/>
      <c r="F60" s="51"/>
      <c r="G60" s="51"/>
      <c r="H60" s="51"/>
      <c r="I60" s="51">
        <v>25000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>
        <v>3136</v>
      </c>
      <c r="AC60" s="51"/>
      <c r="AD60" s="51"/>
      <c r="AE60" s="51">
        <v>25000</v>
      </c>
      <c r="AF60" s="51"/>
      <c r="AG60" s="51"/>
      <c r="AH60" s="51"/>
      <c r="AI60" s="51"/>
      <c r="AJ60" s="51"/>
      <c r="AK60" s="51"/>
    </row>
    <row r="61" spans="1:37" x14ac:dyDescent="0.25">
      <c r="A61" s="18">
        <v>44561</v>
      </c>
      <c r="B61" t="s">
        <v>277</v>
      </c>
      <c r="C61" s="25">
        <v>46</v>
      </c>
      <c r="D61" s="51"/>
      <c r="E61" s="51"/>
      <c r="F61" s="51"/>
      <c r="G61" s="51">
        <v>3136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1:37" x14ac:dyDescent="0.25">
      <c r="A62" s="18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1:37" x14ac:dyDescent="0.25">
      <c r="A63" s="18"/>
      <c r="B63" s="54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1:37" x14ac:dyDescent="0.25">
      <c r="A64" s="18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 x14ac:dyDescent="0.25">
      <c r="A65" s="18"/>
      <c r="B65" s="52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1:37" x14ac:dyDescent="0.25">
      <c r="A66" s="18"/>
      <c r="B66" s="52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1:37" x14ac:dyDescent="0.25">
      <c r="A67" s="18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1:37" x14ac:dyDescent="0.25">
      <c r="A68" s="18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1:37" x14ac:dyDescent="0.25">
      <c r="A69" s="18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1:37" x14ac:dyDescent="0.25">
      <c r="A70" s="18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1:37" x14ac:dyDescent="0.25">
      <c r="A71" s="18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1:37" x14ac:dyDescent="0.25">
      <c r="A72" s="18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</row>
    <row r="73" spans="1:37" x14ac:dyDescent="0.25">
      <c r="A73" s="18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1:37" x14ac:dyDescent="0.25">
      <c r="A74" s="18"/>
      <c r="B74" s="18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1:37" x14ac:dyDescent="0.25">
      <c r="A75" s="18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1:37" x14ac:dyDescent="0.25">
      <c r="A76" s="1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1:37" x14ac:dyDescent="0.25">
      <c r="A77" s="18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</row>
    <row r="78" spans="1:37" x14ac:dyDescent="0.25">
      <c r="A78" s="18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</row>
    <row r="79" spans="1:37" x14ac:dyDescent="0.25">
      <c r="A79" s="1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</row>
    <row r="80" spans="1:37" x14ac:dyDescent="0.25">
      <c r="A80" s="1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</row>
    <row r="81" spans="1:37" x14ac:dyDescent="0.25">
      <c r="A81" s="18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x14ac:dyDescent="0.25">
      <c r="A82" s="1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</row>
    <row r="83" spans="1:37" x14ac:dyDescent="0.25">
      <c r="A83" s="18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</row>
    <row r="84" spans="1:37" x14ac:dyDescent="0.25">
      <c r="A84" s="18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</row>
    <row r="85" spans="1:37" x14ac:dyDescent="0.25">
      <c r="A85" s="1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</row>
    <row r="86" spans="1:37" x14ac:dyDescent="0.25">
      <c r="A86" s="18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</row>
    <row r="87" spans="1:37" x14ac:dyDescent="0.25">
      <c r="A87" s="1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</row>
    <row r="88" spans="1:37" x14ac:dyDescent="0.25">
      <c r="A88" s="18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</row>
    <row r="89" spans="1:37" x14ac:dyDescent="0.25">
      <c r="A89" s="18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</row>
    <row r="90" spans="1:37" x14ac:dyDescent="0.25">
      <c r="A90" s="18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</row>
    <row r="91" spans="1:37" x14ac:dyDescent="0.25">
      <c r="A91" s="18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</row>
    <row r="92" spans="1:37" x14ac:dyDescent="0.25">
      <c r="A92" s="18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</row>
    <row r="93" spans="1:37" x14ac:dyDescent="0.25">
      <c r="A93" s="18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</row>
    <row r="94" spans="1:37" x14ac:dyDescent="0.25">
      <c r="A94" s="18"/>
      <c r="B94" s="54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</row>
    <row r="95" spans="1:37" x14ac:dyDescent="0.25">
      <c r="A95" s="18"/>
      <c r="B95" s="52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</row>
    <row r="96" spans="1:37" x14ac:dyDescent="0.25">
      <c r="A96" s="18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1:37" x14ac:dyDescent="0.25">
      <c r="A97" s="18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</row>
    <row r="98" spans="1:37" x14ac:dyDescent="0.25">
      <c r="A98" s="18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</row>
    <row r="99" spans="1:37" x14ac:dyDescent="0.25">
      <c r="A99" s="18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</row>
    <row r="100" spans="1:37" x14ac:dyDescent="0.25">
      <c r="A100" s="18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</row>
    <row r="101" spans="1:37" x14ac:dyDescent="0.25">
      <c r="A101" s="1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</row>
    <row r="102" spans="1:37" x14ac:dyDescent="0.25">
      <c r="A102" s="18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</row>
    <row r="103" spans="1:37" x14ac:dyDescent="0.25">
      <c r="A103" s="18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</row>
    <row r="104" spans="1:37" x14ac:dyDescent="0.25">
      <c r="A104" s="18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</row>
    <row r="105" spans="1:37" x14ac:dyDescent="0.25">
      <c r="A105" s="18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</row>
    <row r="106" spans="1:37" x14ac:dyDescent="0.25">
      <c r="A106" s="18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</row>
    <row r="107" spans="1:37" x14ac:dyDescent="0.25">
      <c r="A107" s="18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</row>
    <row r="108" spans="1:37" x14ac:dyDescent="0.25">
      <c r="A108" s="18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</row>
    <row r="109" spans="1:37" x14ac:dyDescent="0.25">
      <c r="A109" s="18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</row>
    <row r="110" spans="1:37" x14ac:dyDescent="0.25">
      <c r="A110" s="18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</row>
    <row r="111" spans="1:37" x14ac:dyDescent="0.25">
      <c r="A111" s="18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</row>
    <row r="112" spans="1:37" x14ac:dyDescent="0.25">
      <c r="A112" s="18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</row>
    <row r="113" spans="1:37" x14ac:dyDescent="0.25">
      <c r="A113" s="18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</row>
    <row r="114" spans="1:37" x14ac:dyDescent="0.25">
      <c r="A114" s="18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</row>
    <row r="115" spans="1:37" x14ac:dyDescent="0.25"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</row>
    <row r="116" spans="1:37" x14ac:dyDescent="0.25"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</row>
    <row r="117" spans="1:37" x14ac:dyDescent="0.25"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</row>
    <row r="118" spans="1:37" x14ac:dyDescent="0.25"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</row>
    <row r="119" spans="1:37" x14ac:dyDescent="0.25"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</row>
    <row r="120" spans="1:37" x14ac:dyDescent="0.25"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</row>
    <row r="121" spans="1:37" x14ac:dyDescent="0.25"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</row>
    <row r="122" spans="1:37" x14ac:dyDescent="0.25"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</row>
    <row r="123" spans="1:37" x14ac:dyDescent="0.25"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</row>
    <row r="124" spans="1:37" x14ac:dyDescent="0.25"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</row>
    <row r="125" spans="1:37" x14ac:dyDescent="0.25"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</row>
    <row r="126" spans="1:37" x14ac:dyDescent="0.25"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</row>
    <row r="127" spans="1:37" x14ac:dyDescent="0.25"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</row>
    <row r="128" spans="1:37" x14ac:dyDescent="0.25"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</row>
    <row r="129" spans="4:37" x14ac:dyDescent="0.25"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</row>
    <row r="130" spans="4:37" x14ac:dyDescent="0.25"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</row>
    <row r="131" spans="4:37" x14ac:dyDescent="0.25"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</row>
    <row r="132" spans="4:37" x14ac:dyDescent="0.25"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</row>
    <row r="133" spans="4:37" x14ac:dyDescent="0.25"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</row>
    <row r="134" spans="4:37" x14ac:dyDescent="0.25"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</row>
    <row r="135" spans="4:37" x14ac:dyDescent="0.25"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</row>
    <row r="136" spans="4:37" x14ac:dyDescent="0.25"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</row>
    <row r="137" spans="4:37" x14ac:dyDescent="0.25"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</row>
    <row r="138" spans="4:37" x14ac:dyDescent="0.25"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</row>
    <row r="139" spans="4:37" x14ac:dyDescent="0.25"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</row>
    <row r="140" spans="4:37" x14ac:dyDescent="0.25"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</row>
    <row r="141" spans="4:37" x14ac:dyDescent="0.25"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</row>
    <row r="142" spans="4:37" x14ac:dyDescent="0.25"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</row>
    <row r="143" spans="4:37" x14ac:dyDescent="0.25"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</row>
    <row r="144" spans="4:37" x14ac:dyDescent="0.25"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</row>
    <row r="145" spans="4:37" x14ac:dyDescent="0.25"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</row>
    <row r="146" spans="4:37" x14ac:dyDescent="0.25"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</row>
    <row r="147" spans="4:37" x14ac:dyDescent="0.25"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</row>
    <row r="148" spans="4:37" x14ac:dyDescent="0.25"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</row>
    <row r="149" spans="4:37" x14ac:dyDescent="0.25"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</row>
    <row r="150" spans="4:37" x14ac:dyDescent="0.25"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</row>
    <row r="151" spans="4:37" x14ac:dyDescent="0.25"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</row>
    <row r="152" spans="4:37" x14ac:dyDescent="0.25"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</row>
    <row r="153" spans="4:37" x14ac:dyDescent="0.25"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</row>
    <row r="154" spans="4:37" x14ac:dyDescent="0.25"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</row>
    <row r="155" spans="4:37" x14ac:dyDescent="0.25"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</row>
    <row r="156" spans="4:37" x14ac:dyDescent="0.25"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</row>
    <row r="157" spans="4:37" x14ac:dyDescent="0.25"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</row>
    <row r="158" spans="4:37" x14ac:dyDescent="0.25"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</row>
    <row r="159" spans="4:37" x14ac:dyDescent="0.25"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</row>
    <row r="160" spans="4:37" x14ac:dyDescent="0.25"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</row>
    <row r="161" spans="4:37" x14ac:dyDescent="0.25"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</row>
    <row r="162" spans="4:37" x14ac:dyDescent="0.25"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</row>
    <row r="163" spans="4:37" x14ac:dyDescent="0.25"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</row>
    <row r="164" spans="4:37" x14ac:dyDescent="0.25"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</row>
    <row r="165" spans="4:37" x14ac:dyDescent="0.25"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</row>
    <row r="166" spans="4:37" x14ac:dyDescent="0.25"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</row>
    <row r="167" spans="4:37" x14ac:dyDescent="0.25"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</row>
    <row r="168" spans="4:37" x14ac:dyDescent="0.25"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</row>
    <row r="169" spans="4:37" x14ac:dyDescent="0.25"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</row>
    <row r="170" spans="4:37" x14ac:dyDescent="0.25"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</row>
    <row r="171" spans="4:37" x14ac:dyDescent="0.25"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</row>
    <row r="172" spans="4:37" x14ac:dyDescent="0.25"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</row>
    <row r="173" spans="4:37" x14ac:dyDescent="0.25"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</row>
    <row r="174" spans="4:37" x14ac:dyDescent="0.25"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</row>
    <row r="175" spans="4:37" x14ac:dyDescent="0.25"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</row>
    <row r="176" spans="4:37" x14ac:dyDescent="0.25"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</row>
    <row r="177" spans="4:37" x14ac:dyDescent="0.25"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</row>
    <row r="178" spans="4:37" x14ac:dyDescent="0.25"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</row>
    <row r="179" spans="4:37" x14ac:dyDescent="0.25"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</row>
    <row r="180" spans="4:37" x14ac:dyDescent="0.25"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</row>
    <row r="181" spans="4:37" x14ac:dyDescent="0.25"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</row>
    <row r="182" spans="4:37" x14ac:dyDescent="0.25"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</row>
    <row r="183" spans="4:37" x14ac:dyDescent="0.25"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</row>
    <row r="184" spans="4:37" x14ac:dyDescent="0.25"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</row>
    <row r="185" spans="4:37" x14ac:dyDescent="0.25"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</row>
    <row r="186" spans="4:37" x14ac:dyDescent="0.25"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</row>
    <row r="187" spans="4:37" x14ac:dyDescent="0.25"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</row>
    <row r="188" spans="4:37" x14ac:dyDescent="0.25"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</row>
    <row r="189" spans="4:37" x14ac:dyDescent="0.25"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</row>
    <row r="190" spans="4:37" x14ac:dyDescent="0.25"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</row>
    <row r="191" spans="4:37" x14ac:dyDescent="0.25"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</row>
    <row r="192" spans="4:37" x14ac:dyDescent="0.25"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</row>
    <row r="193" spans="4:37" x14ac:dyDescent="0.25"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</row>
    <row r="194" spans="4:37" x14ac:dyDescent="0.25"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</row>
    <row r="195" spans="4:37" x14ac:dyDescent="0.25"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</row>
    <row r="196" spans="4:37" x14ac:dyDescent="0.25"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</row>
    <row r="197" spans="4:37" x14ac:dyDescent="0.25"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</row>
    <row r="198" spans="4:37" x14ac:dyDescent="0.25"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</row>
    <row r="199" spans="4:37" x14ac:dyDescent="0.25"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</row>
    <row r="200" spans="4:37" x14ac:dyDescent="0.25"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</row>
    <row r="201" spans="4:37" x14ac:dyDescent="0.25"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</row>
    <row r="202" spans="4:37" x14ac:dyDescent="0.25"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</row>
    <row r="203" spans="4:37" x14ac:dyDescent="0.25"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</row>
    <row r="204" spans="4:37" x14ac:dyDescent="0.25"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</row>
    <row r="205" spans="4:37" x14ac:dyDescent="0.25"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</row>
    <row r="206" spans="4:37" x14ac:dyDescent="0.25"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</row>
    <row r="207" spans="4:37" x14ac:dyDescent="0.25"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</row>
    <row r="208" spans="4:37" x14ac:dyDescent="0.25"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</row>
    <row r="209" spans="4:37" x14ac:dyDescent="0.25"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</row>
    <row r="210" spans="4:37" x14ac:dyDescent="0.25"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</row>
    <row r="211" spans="4:37" x14ac:dyDescent="0.25"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</row>
    <row r="212" spans="4:37" x14ac:dyDescent="0.25"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</row>
    <row r="213" spans="4:37" x14ac:dyDescent="0.25"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</row>
    <row r="214" spans="4:37" x14ac:dyDescent="0.25"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</row>
    <row r="215" spans="4:37" x14ac:dyDescent="0.25"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</row>
    <row r="216" spans="4:37" x14ac:dyDescent="0.25"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</row>
    <row r="217" spans="4:37" x14ac:dyDescent="0.25"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</row>
    <row r="218" spans="4:37" x14ac:dyDescent="0.25"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</row>
    <row r="219" spans="4:37" x14ac:dyDescent="0.25"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</row>
    <row r="220" spans="4:37" x14ac:dyDescent="0.25"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</row>
    <row r="221" spans="4:37" x14ac:dyDescent="0.25"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</row>
    <row r="222" spans="4:37" x14ac:dyDescent="0.25"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</row>
    <row r="223" spans="4:37" x14ac:dyDescent="0.25"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</row>
    <row r="224" spans="4:37" x14ac:dyDescent="0.25"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</row>
    <row r="225" spans="4:37" x14ac:dyDescent="0.25"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</row>
    <row r="226" spans="4:37" x14ac:dyDescent="0.25"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</row>
    <row r="227" spans="4:37" x14ac:dyDescent="0.25"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</row>
    <row r="228" spans="4:37" x14ac:dyDescent="0.25"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</row>
    <row r="229" spans="4:37" x14ac:dyDescent="0.25"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</row>
    <row r="230" spans="4:37" x14ac:dyDescent="0.25"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</row>
    <row r="231" spans="4:37" x14ac:dyDescent="0.25"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</row>
    <row r="232" spans="4:37" x14ac:dyDescent="0.25"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</row>
    <row r="233" spans="4:37" x14ac:dyDescent="0.25"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</row>
    <row r="234" spans="4:37" x14ac:dyDescent="0.25"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</row>
    <row r="235" spans="4:37" x14ac:dyDescent="0.25"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</row>
    <row r="236" spans="4:37" x14ac:dyDescent="0.25"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</row>
    <row r="237" spans="4:37" x14ac:dyDescent="0.25"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</row>
    <row r="238" spans="4:37" x14ac:dyDescent="0.25"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</row>
    <row r="239" spans="4:37" x14ac:dyDescent="0.25"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</row>
    <row r="240" spans="4:37" x14ac:dyDescent="0.25"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</row>
    <row r="241" spans="4:37" x14ac:dyDescent="0.25"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</row>
    <row r="242" spans="4:37" x14ac:dyDescent="0.25"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</row>
    <row r="243" spans="4:37" x14ac:dyDescent="0.25"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</row>
    <row r="244" spans="4:37" x14ac:dyDescent="0.25"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</row>
    <row r="245" spans="4:37" x14ac:dyDescent="0.25"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4:37" x14ac:dyDescent="0.25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4:37" x14ac:dyDescent="0.25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4:37" x14ac:dyDescent="0.25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4:37" x14ac:dyDescent="0.25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</row>
    <row r="250" spans="4:37" x14ac:dyDescent="0.25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</row>
    <row r="251" spans="4:37" x14ac:dyDescent="0.25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</row>
    <row r="252" spans="4:37" x14ac:dyDescent="0.25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</row>
    <row r="253" spans="4:37" x14ac:dyDescent="0.25"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</row>
    <row r="254" spans="4:37" x14ac:dyDescent="0.25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</row>
    <row r="255" spans="4:37" x14ac:dyDescent="0.25"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</row>
    <row r="256" spans="4:37" x14ac:dyDescent="0.25"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</row>
    <row r="257" spans="4:37" x14ac:dyDescent="0.25"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</row>
    <row r="258" spans="4:37" x14ac:dyDescent="0.25"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</row>
    <row r="259" spans="4:37" x14ac:dyDescent="0.25"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</row>
    <row r="260" spans="4:37" x14ac:dyDescent="0.25"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</row>
    <row r="261" spans="4:37" x14ac:dyDescent="0.25"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</row>
    <row r="262" spans="4:37" x14ac:dyDescent="0.25"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</row>
    <row r="263" spans="4:37" x14ac:dyDescent="0.25"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</row>
    <row r="264" spans="4:37" x14ac:dyDescent="0.25"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</row>
    <row r="265" spans="4:37" x14ac:dyDescent="0.25"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</row>
    <row r="266" spans="4:37" x14ac:dyDescent="0.25"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</row>
    <row r="267" spans="4:37" x14ac:dyDescent="0.25"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</row>
    <row r="268" spans="4:37" x14ac:dyDescent="0.25"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</row>
    <row r="269" spans="4:37" x14ac:dyDescent="0.25"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</row>
    <row r="270" spans="4:37" x14ac:dyDescent="0.25"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</row>
    <row r="271" spans="4:37" x14ac:dyDescent="0.25"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</row>
    <row r="272" spans="4:37" x14ac:dyDescent="0.25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</row>
    <row r="273" spans="4:37" x14ac:dyDescent="0.25"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</row>
    <row r="274" spans="4:37" x14ac:dyDescent="0.25"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</row>
    <row r="275" spans="4:37" x14ac:dyDescent="0.25"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</row>
    <row r="276" spans="4:37" x14ac:dyDescent="0.25"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</row>
    <row r="277" spans="4:37" x14ac:dyDescent="0.25"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</row>
    <row r="278" spans="4:37" x14ac:dyDescent="0.25"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</row>
    <row r="279" spans="4:37" x14ac:dyDescent="0.25"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</row>
    <row r="280" spans="4:37" x14ac:dyDescent="0.25"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</row>
    <row r="281" spans="4:37" x14ac:dyDescent="0.25"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</row>
    <row r="282" spans="4:37" x14ac:dyDescent="0.25"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</row>
    <row r="283" spans="4:37" x14ac:dyDescent="0.25"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</row>
    <row r="284" spans="4:37" x14ac:dyDescent="0.25"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</row>
    <row r="285" spans="4:37" x14ac:dyDescent="0.25"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</row>
    <row r="286" spans="4:37" x14ac:dyDescent="0.25"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</row>
    <row r="287" spans="4:37" x14ac:dyDescent="0.25"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</row>
    <row r="288" spans="4:37" x14ac:dyDescent="0.25"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</row>
    <row r="289" spans="4:37" x14ac:dyDescent="0.25"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</row>
    <row r="290" spans="4:37" x14ac:dyDescent="0.25"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</row>
    <row r="291" spans="4:37" x14ac:dyDescent="0.25"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</row>
    <row r="292" spans="4:37" x14ac:dyDescent="0.25"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</row>
    <row r="293" spans="4:37" x14ac:dyDescent="0.25"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</row>
    <row r="294" spans="4:37" x14ac:dyDescent="0.25"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</row>
    <row r="295" spans="4:37" x14ac:dyDescent="0.25"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</row>
    <row r="296" spans="4:37" x14ac:dyDescent="0.25"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</row>
    <row r="297" spans="4:37" x14ac:dyDescent="0.25"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</row>
    <row r="298" spans="4:37" x14ac:dyDescent="0.25"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</row>
    <row r="299" spans="4:37" x14ac:dyDescent="0.25"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</row>
    <row r="300" spans="4:37" x14ac:dyDescent="0.25"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</row>
    <row r="301" spans="4:37" x14ac:dyDescent="0.25"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</row>
    <row r="302" spans="4:37" x14ac:dyDescent="0.25"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4:37" x14ac:dyDescent="0.25"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</row>
    <row r="304" spans="4:37" x14ac:dyDescent="0.25"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</row>
    <row r="305" spans="4:37" x14ac:dyDescent="0.25"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</row>
    <row r="306" spans="4:37" x14ac:dyDescent="0.25"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</row>
    <row r="307" spans="4:37" x14ac:dyDescent="0.25"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</row>
    <row r="308" spans="4:37" x14ac:dyDescent="0.25"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</row>
    <row r="309" spans="4:37" x14ac:dyDescent="0.25"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</row>
    <row r="310" spans="4:37" x14ac:dyDescent="0.25"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</row>
    <row r="311" spans="4:37" x14ac:dyDescent="0.25"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</row>
    <row r="312" spans="4:37" x14ac:dyDescent="0.25"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</row>
    <row r="313" spans="4:37" x14ac:dyDescent="0.25"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</row>
    <row r="314" spans="4:37" x14ac:dyDescent="0.25"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</row>
    <row r="315" spans="4:37" x14ac:dyDescent="0.25"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</row>
    <row r="316" spans="4:37" x14ac:dyDescent="0.25"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</row>
    <row r="317" spans="4:37" x14ac:dyDescent="0.25"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</row>
    <row r="318" spans="4:37" x14ac:dyDescent="0.25"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</row>
    <row r="319" spans="4:37" x14ac:dyDescent="0.25"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</row>
    <row r="320" spans="4:37" x14ac:dyDescent="0.25"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</row>
    <row r="321" spans="4:37" x14ac:dyDescent="0.25"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</row>
    <row r="322" spans="4:37" x14ac:dyDescent="0.25"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</row>
    <row r="323" spans="4:37" x14ac:dyDescent="0.25"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</row>
    <row r="324" spans="4:37" x14ac:dyDescent="0.25"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</row>
    <row r="325" spans="4:37" x14ac:dyDescent="0.25"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</row>
    <row r="326" spans="4:37" x14ac:dyDescent="0.25"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</row>
    <row r="327" spans="4:37" x14ac:dyDescent="0.25"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</row>
    <row r="328" spans="4:37" x14ac:dyDescent="0.25"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</row>
    <row r="329" spans="4:37" x14ac:dyDescent="0.25"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</row>
    <row r="330" spans="4:37" x14ac:dyDescent="0.25"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</row>
    <row r="331" spans="4:37" x14ac:dyDescent="0.25"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4:37" x14ac:dyDescent="0.25"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</row>
    <row r="333" spans="4:37" x14ac:dyDescent="0.25"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</row>
    <row r="334" spans="4:37" x14ac:dyDescent="0.25"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</row>
    <row r="335" spans="4:37" x14ac:dyDescent="0.25"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</row>
    <row r="336" spans="4:37" x14ac:dyDescent="0.25"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</row>
    <row r="337" spans="4:37" x14ac:dyDescent="0.25"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</row>
    <row r="338" spans="4:37" x14ac:dyDescent="0.25"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</row>
    <row r="339" spans="4:37" x14ac:dyDescent="0.25"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</row>
    <row r="340" spans="4:37" x14ac:dyDescent="0.25"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</row>
    <row r="341" spans="4:37" x14ac:dyDescent="0.25"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</row>
    <row r="342" spans="4:37" x14ac:dyDescent="0.25"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</row>
    <row r="343" spans="4:37" x14ac:dyDescent="0.25"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</row>
    <row r="344" spans="4:37" x14ac:dyDescent="0.25"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</row>
    <row r="345" spans="4:37" x14ac:dyDescent="0.25"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</row>
    <row r="346" spans="4:37" x14ac:dyDescent="0.25"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</row>
    <row r="347" spans="4:37" x14ac:dyDescent="0.25"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4:37" x14ac:dyDescent="0.25"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</row>
    <row r="349" spans="4:37" x14ac:dyDescent="0.25"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</row>
  </sheetData>
  <mergeCells count="39">
    <mergeCell ref="AH4:AH5"/>
    <mergeCell ref="B6:C6"/>
    <mergeCell ref="T4:T5"/>
    <mergeCell ref="W4:W5"/>
    <mergeCell ref="X4:X5"/>
    <mergeCell ref="Y4:Y5"/>
    <mergeCell ref="L4:L5"/>
    <mergeCell ref="M4:M5"/>
    <mergeCell ref="N4:N5"/>
    <mergeCell ref="O4:O5"/>
    <mergeCell ref="Q4:Q5"/>
    <mergeCell ref="S4:S5"/>
    <mergeCell ref="R4:R5"/>
    <mergeCell ref="P4:P5"/>
    <mergeCell ref="AC4:AC5"/>
    <mergeCell ref="L3:O3"/>
    <mergeCell ref="K8:L8"/>
    <mergeCell ref="O8:S8"/>
    <mergeCell ref="B10:C10"/>
    <mergeCell ref="AE4:AE5"/>
    <mergeCell ref="U4:U5"/>
    <mergeCell ref="V4:V5"/>
    <mergeCell ref="AB4:AB5"/>
    <mergeCell ref="A1:AK2"/>
    <mergeCell ref="A3:A5"/>
    <mergeCell ref="B3:B5"/>
    <mergeCell ref="C3:C5"/>
    <mergeCell ref="Q3:AK3"/>
    <mergeCell ref="D4:E4"/>
    <mergeCell ref="F4:G4"/>
    <mergeCell ref="H4:I4"/>
    <mergeCell ref="J4:K4"/>
    <mergeCell ref="AI4:AI5"/>
    <mergeCell ref="AJ4:AJ5"/>
    <mergeCell ref="AK4:AK5"/>
    <mergeCell ref="Z4:Z5"/>
    <mergeCell ref="AD4:AD5"/>
    <mergeCell ref="AF4:AF5"/>
    <mergeCell ref="AG4:AG5"/>
  </mergeCells>
  <pageMargins left="0.7" right="0.7" top="0.75" bottom="0.75" header="0.3" footer="0.3"/>
  <pageSetup paperSize="8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0DA8-181C-42EE-9BFF-5D10238EF323}">
  <dimension ref="A1:D41"/>
  <sheetViews>
    <sheetView topLeftCell="A10" workbookViewId="0">
      <selection activeCell="C28" sqref="C28"/>
    </sheetView>
  </sheetViews>
  <sheetFormatPr baseColWidth="10" defaultRowHeight="15.75" x14ac:dyDescent="0.25"/>
  <cols>
    <col min="1" max="1" width="32.75" customWidth="1"/>
    <col min="2" max="2" width="8.25" customWidth="1"/>
    <col min="3" max="3" width="13.875" customWidth="1"/>
    <col min="4" max="4" width="14.5" customWidth="1"/>
  </cols>
  <sheetData>
    <row r="1" spans="1:4" s="57" customFormat="1" ht="29.25" customHeight="1" x14ac:dyDescent="0.45">
      <c r="A1" s="57" t="s">
        <v>70</v>
      </c>
    </row>
    <row r="3" spans="1:4" ht="18.75" x14ac:dyDescent="0.3">
      <c r="A3" s="58" t="s">
        <v>21</v>
      </c>
      <c r="C3" s="59" t="s">
        <v>22</v>
      </c>
      <c r="D3" s="59" t="s">
        <v>22</v>
      </c>
    </row>
    <row r="4" spans="1:4" ht="18.75" x14ac:dyDescent="0.3">
      <c r="C4" s="59">
        <v>2021</v>
      </c>
      <c r="D4" s="59">
        <v>2020</v>
      </c>
    </row>
    <row r="6" spans="1:4" x14ac:dyDescent="0.25">
      <c r="A6" s="56" t="s">
        <v>23</v>
      </c>
    </row>
    <row r="7" spans="1:4" x14ac:dyDescent="0.25">
      <c r="A7" t="s">
        <v>269</v>
      </c>
      <c r="B7" t="s">
        <v>78</v>
      </c>
      <c r="C7" s="51">
        <f>Bokføring!L6</f>
        <v>169204.7</v>
      </c>
      <c r="D7" s="51">
        <v>416939.98</v>
      </c>
    </row>
    <row r="8" spans="1:4" x14ac:dyDescent="0.25">
      <c r="A8" t="s">
        <v>24</v>
      </c>
      <c r="C8" s="51">
        <f>Bokføring!M6</f>
        <v>55106</v>
      </c>
      <c r="D8" s="51">
        <v>0</v>
      </c>
    </row>
    <row r="9" spans="1:4" x14ac:dyDescent="0.25">
      <c r="A9" s="60" t="s">
        <v>250</v>
      </c>
      <c r="B9" s="60"/>
      <c r="C9" s="61">
        <f>Bokføring!P6</f>
        <v>20440.510000000002</v>
      </c>
      <c r="D9" s="61">
        <v>0</v>
      </c>
    </row>
    <row r="10" spans="1:4" x14ac:dyDescent="0.25">
      <c r="A10" s="56" t="s">
        <v>25</v>
      </c>
      <c r="C10" s="62">
        <f>SUM(C7:C9)</f>
        <v>244751.21000000002</v>
      </c>
      <c r="D10" s="62">
        <f>SUM(D7:D9)</f>
        <v>416939.98</v>
      </c>
    </row>
    <row r="11" spans="1:4" x14ac:dyDescent="0.25">
      <c r="D11" s="51"/>
    </row>
    <row r="12" spans="1:4" x14ac:dyDescent="0.25">
      <c r="D12" s="51"/>
    </row>
    <row r="13" spans="1:4" x14ac:dyDescent="0.25">
      <c r="A13" s="56" t="s">
        <v>26</v>
      </c>
      <c r="D13" s="51"/>
    </row>
    <row r="14" spans="1:4" x14ac:dyDescent="0.25">
      <c r="A14" t="s">
        <v>27</v>
      </c>
      <c r="C14" s="51">
        <f>Bokføring!S6</f>
        <v>0</v>
      </c>
      <c r="D14" s="51">
        <v>3250</v>
      </c>
    </row>
    <row r="15" spans="1:4" x14ac:dyDescent="0.25">
      <c r="A15" t="s">
        <v>64</v>
      </c>
      <c r="B15" t="s">
        <v>80</v>
      </c>
      <c r="C15" s="51">
        <f>Bokføring!AE6</f>
        <v>25000</v>
      </c>
      <c r="D15" s="51">
        <v>25000</v>
      </c>
    </row>
    <row r="16" spans="1:4" x14ac:dyDescent="0.25">
      <c r="A16" t="s">
        <v>249</v>
      </c>
      <c r="B16" t="s">
        <v>81</v>
      </c>
      <c r="C16" s="51">
        <f>Bokføring!R6</f>
        <v>157693.1</v>
      </c>
      <c r="D16" s="51">
        <v>0</v>
      </c>
    </row>
    <row r="17" spans="1:4" x14ac:dyDescent="0.25">
      <c r="A17" t="s">
        <v>28</v>
      </c>
      <c r="B17" t="s">
        <v>81</v>
      </c>
      <c r="C17" s="51">
        <f>Bokføring!T6</f>
        <v>9887.5</v>
      </c>
      <c r="D17" s="51">
        <v>2430.09</v>
      </c>
    </row>
    <row r="18" spans="1:4" x14ac:dyDescent="0.25">
      <c r="A18" t="s">
        <v>29</v>
      </c>
      <c r="B18" t="s">
        <v>81</v>
      </c>
      <c r="C18" s="51">
        <f>Bokføring!U6</f>
        <v>2562.6999999999998</v>
      </c>
      <c r="D18" s="51">
        <v>709.6</v>
      </c>
    </row>
    <row r="19" spans="1:4" x14ac:dyDescent="0.25">
      <c r="A19" t="s">
        <v>66</v>
      </c>
      <c r="C19" s="51">
        <f>Bokføring!AI6</f>
        <v>0</v>
      </c>
      <c r="D19" s="51">
        <v>3207</v>
      </c>
    </row>
    <row r="20" spans="1:4" x14ac:dyDescent="0.25">
      <c r="A20" t="s">
        <v>20</v>
      </c>
      <c r="C20" s="51">
        <f>Bokføring!V6</f>
        <v>0</v>
      </c>
      <c r="D20" s="51">
        <v>1702.73</v>
      </c>
    </row>
    <row r="21" spans="1:4" x14ac:dyDescent="0.25">
      <c r="A21" t="s">
        <v>1</v>
      </c>
      <c r="C21" s="51">
        <f>Bokføring!W6</f>
        <v>445</v>
      </c>
      <c r="D21" s="51">
        <v>0</v>
      </c>
    </row>
    <row r="22" spans="1:4" x14ac:dyDescent="0.25">
      <c r="A22" t="s">
        <v>2</v>
      </c>
      <c r="C22" s="51">
        <f>Bokføring!X6</f>
        <v>1319.17</v>
      </c>
      <c r="D22" s="51">
        <v>3510.44</v>
      </c>
    </row>
    <row r="23" spans="1:4" x14ac:dyDescent="0.25">
      <c r="A23" t="s">
        <v>24</v>
      </c>
      <c r="C23" s="51">
        <f>Bokføring!AF6</f>
        <v>5005</v>
      </c>
      <c r="D23" s="51">
        <v>4849.5</v>
      </c>
    </row>
    <row r="24" spans="1:4" x14ac:dyDescent="0.25">
      <c r="A24" t="s">
        <v>30</v>
      </c>
      <c r="C24" s="51">
        <f>Bokføring!Y6</f>
        <v>490</v>
      </c>
      <c r="D24" s="51">
        <v>1450</v>
      </c>
    </row>
    <row r="25" spans="1:4" x14ac:dyDescent="0.25">
      <c r="A25" t="s">
        <v>74</v>
      </c>
      <c r="C25" s="51">
        <f>Bokføring!AG6</f>
        <v>6125.63</v>
      </c>
      <c r="D25" s="51">
        <v>3845</v>
      </c>
    </row>
    <row r="26" spans="1:4" x14ac:dyDescent="0.25">
      <c r="A26" t="s">
        <v>31</v>
      </c>
      <c r="C26" s="51">
        <f>Bokføring!AA6</f>
        <v>12219.5</v>
      </c>
      <c r="D26" s="51">
        <v>23053.7</v>
      </c>
    </row>
    <row r="27" spans="1:4" x14ac:dyDescent="0.25">
      <c r="A27" t="s">
        <v>18</v>
      </c>
      <c r="C27" s="51">
        <f>Bokføring!AD6</f>
        <v>29255</v>
      </c>
      <c r="D27" s="51">
        <v>35334</v>
      </c>
    </row>
    <row r="28" spans="1:4" x14ac:dyDescent="0.25">
      <c r="A28" t="s">
        <v>76</v>
      </c>
      <c r="B28" t="s">
        <v>81</v>
      </c>
      <c r="C28" s="51">
        <f>Bokføring!AB6</f>
        <v>4024</v>
      </c>
      <c r="D28" s="51">
        <v>2378.06</v>
      </c>
    </row>
    <row r="29" spans="1:4" x14ac:dyDescent="0.25">
      <c r="A29" t="s">
        <v>3</v>
      </c>
      <c r="C29" s="51">
        <f>Bokføring!AH6</f>
        <v>3438.7</v>
      </c>
      <c r="D29" s="51">
        <v>4458.25</v>
      </c>
    </row>
    <row r="30" spans="1:4" x14ac:dyDescent="0.25">
      <c r="A30" s="60" t="s">
        <v>4</v>
      </c>
      <c r="B30" s="60" t="s">
        <v>81</v>
      </c>
      <c r="C30" s="61">
        <f>Bokføring!AK6+Bokføring!AC6</f>
        <v>2334.8200000000002</v>
      </c>
      <c r="D30" s="61">
        <v>291</v>
      </c>
    </row>
    <row r="31" spans="1:4" x14ac:dyDescent="0.25">
      <c r="A31" s="56" t="s">
        <v>32</v>
      </c>
      <c r="C31" s="62">
        <f>SUM(C14:C30)</f>
        <v>259800.12000000005</v>
      </c>
      <c r="D31" s="62">
        <f>SUM(D14:D30)</f>
        <v>115469.37000000001</v>
      </c>
    </row>
    <row r="32" spans="1:4" x14ac:dyDescent="0.25">
      <c r="D32" s="51"/>
    </row>
    <row r="33" spans="1:4" x14ac:dyDescent="0.25">
      <c r="A33" s="56" t="s">
        <v>33</v>
      </c>
      <c r="C33" s="62">
        <f>C10-C31</f>
        <v>-15048.910000000033</v>
      </c>
      <c r="D33" s="62">
        <f>D10-D31</f>
        <v>301470.61</v>
      </c>
    </row>
    <row r="34" spans="1:4" x14ac:dyDescent="0.25">
      <c r="D34" s="51"/>
    </row>
    <row r="35" spans="1:4" x14ac:dyDescent="0.25">
      <c r="A35" s="60" t="s">
        <v>34</v>
      </c>
      <c r="B35" s="60"/>
      <c r="C35" s="61">
        <f>Bokføring!N6</f>
        <v>168.78</v>
      </c>
      <c r="D35" s="61">
        <v>76.3</v>
      </c>
    </row>
    <row r="36" spans="1:4" x14ac:dyDescent="0.25">
      <c r="A36" s="56" t="s">
        <v>35</v>
      </c>
      <c r="C36" s="62">
        <f>C35</f>
        <v>168.78</v>
      </c>
      <c r="D36" s="62">
        <f>SUM(D35)</f>
        <v>76.3</v>
      </c>
    </row>
    <row r="37" spans="1:4" x14ac:dyDescent="0.25">
      <c r="D37" s="51"/>
    </row>
    <row r="38" spans="1:4" x14ac:dyDescent="0.25">
      <c r="D38" s="51"/>
    </row>
    <row r="39" spans="1:4" x14ac:dyDescent="0.25">
      <c r="D39" s="51"/>
    </row>
    <row r="40" spans="1:4" ht="16.5" thickBot="1" x14ac:dyDescent="0.3">
      <c r="A40" s="63" t="s">
        <v>69</v>
      </c>
      <c r="B40" s="63"/>
      <c r="C40" s="64">
        <f>C33+C36</f>
        <v>-14880.130000000032</v>
      </c>
      <c r="D40" s="64">
        <f>D33+D36</f>
        <v>301546.90999999997</v>
      </c>
    </row>
    <row r="41" spans="1:4" ht="16.5" thickTop="1" x14ac:dyDescent="0.25">
      <c r="D41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DBEAE-7DC9-4F16-97B9-FADF24135937}">
  <dimension ref="A1:D31"/>
  <sheetViews>
    <sheetView workbookViewId="0">
      <selection activeCell="C19" sqref="C19"/>
    </sheetView>
  </sheetViews>
  <sheetFormatPr baseColWidth="10" defaultRowHeight="15.75" x14ac:dyDescent="0.25"/>
  <cols>
    <col min="1" max="1" width="33.625" customWidth="1"/>
    <col min="2" max="2" width="9.875" customWidth="1"/>
    <col min="3" max="3" width="14" customWidth="1"/>
    <col min="4" max="4" width="12.875" bestFit="1" customWidth="1"/>
  </cols>
  <sheetData>
    <row r="1" spans="1:4" ht="30" customHeight="1" x14ac:dyDescent="0.45">
      <c r="A1" s="57" t="s">
        <v>70</v>
      </c>
    </row>
    <row r="3" spans="1:4" ht="18.75" x14ac:dyDescent="0.3">
      <c r="A3" s="58" t="s">
        <v>36</v>
      </c>
      <c r="C3" s="59" t="s">
        <v>22</v>
      </c>
      <c r="D3" s="59" t="s">
        <v>22</v>
      </c>
    </row>
    <row r="4" spans="1:4" ht="18.75" x14ac:dyDescent="0.3">
      <c r="C4" s="59">
        <v>2021</v>
      </c>
      <c r="D4" s="59">
        <v>2020</v>
      </c>
    </row>
    <row r="6" spans="1:4" x14ac:dyDescent="0.25">
      <c r="A6" s="56" t="s">
        <v>37</v>
      </c>
    </row>
    <row r="8" spans="1:4" x14ac:dyDescent="0.25">
      <c r="A8" t="s">
        <v>38</v>
      </c>
    </row>
    <row r="9" spans="1:4" x14ac:dyDescent="0.25">
      <c r="A9" s="60" t="s">
        <v>39</v>
      </c>
      <c r="B9" s="60" t="s">
        <v>82</v>
      </c>
      <c r="C9" s="61">
        <f>Bokføring!D8</f>
        <v>339337.51</v>
      </c>
      <c r="D9" s="61">
        <v>328557.40000000002</v>
      </c>
    </row>
    <row r="10" spans="1:4" x14ac:dyDescent="0.25">
      <c r="A10" s="56" t="s">
        <v>40</v>
      </c>
      <c r="B10" s="56"/>
      <c r="C10" s="62">
        <f>SUM(C9)</f>
        <v>339337.51</v>
      </c>
      <c r="D10" s="62">
        <f>SUM(D9)</f>
        <v>328557.40000000002</v>
      </c>
    </row>
    <row r="11" spans="1:4" x14ac:dyDescent="0.25">
      <c r="D11" s="51"/>
    </row>
    <row r="12" spans="1:4" x14ac:dyDescent="0.25">
      <c r="D12" s="51"/>
    </row>
    <row r="13" spans="1:4" ht="16.5" thickBot="1" x14ac:dyDescent="0.3">
      <c r="A13" s="65" t="s">
        <v>41</v>
      </c>
      <c r="B13" s="65"/>
      <c r="C13" s="66">
        <f>C10</f>
        <v>339337.51</v>
      </c>
      <c r="D13" s="64">
        <f>SUM(D10)</f>
        <v>328557.40000000002</v>
      </c>
    </row>
    <row r="14" spans="1:4" ht="16.5" thickTop="1" x14ac:dyDescent="0.25">
      <c r="D14" s="51"/>
    </row>
    <row r="15" spans="1:4" x14ac:dyDescent="0.25">
      <c r="D15" s="51"/>
    </row>
    <row r="16" spans="1:4" x14ac:dyDescent="0.25">
      <c r="D16" s="51"/>
    </row>
    <row r="17" spans="1:4" x14ac:dyDescent="0.25">
      <c r="A17" s="56" t="s">
        <v>42</v>
      </c>
      <c r="D17" s="51"/>
    </row>
    <row r="18" spans="1:4" x14ac:dyDescent="0.25">
      <c r="D18" s="51"/>
    </row>
    <row r="19" spans="1:4" x14ac:dyDescent="0.25">
      <c r="A19" t="s">
        <v>77</v>
      </c>
      <c r="C19" s="51">
        <f>D20+D19</f>
        <v>326081.63999999996</v>
      </c>
      <c r="D19" s="51">
        <v>24534.73</v>
      </c>
    </row>
    <row r="20" spans="1:4" x14ac:dyDescent="0.25">
      <c r="A20" t="s">
        <v>68</v>
      </c>
      <c r="C20" s="51">
        <f>Driftsregnskap!C40</f>
        <v>-14880.130000000032</v>
      </c>
      <c r="D20" s="51">
        <v>301546.90999999997</v>
      </c>
    </row>
    <row r="21" spans="1:4" x14ac:dyDescent="0.25">
      <c r="A21" t="s">
        <v>272</v>
      </c>
      <c r="C21" s="76">
        <f>-Bokføring!H8</f>
        <v>25000</v>
      </c>
      <c r="D21" s="51">
        <v>0</v>
      </c>
    </row>
    <row r="22" spans="1:4" x14ac:dyDescent="0.25">
      <c r="A22" t="s">
        <v>43</v>
      </c>
      <c r="C22" s="51">
        <f>-Bokføring!F8</f>
        <v>3136.0000000000005</v>
      </c>
      <c r="D22" s="51">
        <v>2475.7600000000002</v>
      </c>
    </row>
    <row r="23" spans="1:4" x14ac:dyDescent="0.25">
      <c r="C23" s="51"/>
      <c r="D23" s="51"/>
    </row>
    <row r="24" spans="1:4" x14ac:dyDescent="0.25">
      <c r="D24" s="51"/>
    </row>
    <row r="25" spans="1:4" ht="16.5" thickBot="1" x14ac:dyDescent="0.3">
      <c r="A25" s="63" t="s">
        <v>44</v>
      </c>
      <c r="B25" s="63"/>
      <c r="C25" s="64">
        <f>SUM(C19:C24)</f>
        <v>339337.50999999995</v>
      </c>
      <c r="D25" s="64">
        <f>SUM(D19:D24)</f>
        <v>328557.39999999997</v>
      </c>
    </row>
    <row r="26" spans="1:4" ht="16.5" thickTop="1" x14ac:dyDescent="0.25">
      <c r="D26" s="51"/>
    </row>
    <row r="27" spans="1:4" x14ac:dyDescent="0.25">
      <c r="D27" s="51"/>
    </row>
    <row r="28" spans="1:4" x14ac:dyDescent="0.25">
      <c r="D28" s="51"/>
    </row>
    <row r="29" spans="1:4" x14ac:dyDescent="0.25">
      <c r="D29" s="51"/>
    </row>
    <row r="30" spans="1:4" x14ac:dyDescent="0.25">
      <c r="D30" s="51"/>
    </row>
    <row r="31" spans="1:4" x14ac:dyDescent="0.25">
      <c r="D31" s="5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2E8C-3B26-4E4D-AFC7-08BB6F581DB0}">
  <dimension ref="A1:E42"/>
  <sheetViews>
    <sheetView topLeftCell="A10" workbookViewId="0">
      <selection activeCell="D34" sqref="D34"/>
    </sheetView>
  </sheetViews>
  <sheetFormatPr baseColWidth="10" defaultRowHeight="15.75" x14ac:dyDescent="0.25"/>
  <cols>
    <col min="2" max="2" width="39.25" customWidth="1"/>
    <col min="3" max="3" width="3.625" customWidth="1"/>
    <col min="4" max="4" width="22.125" customWidth="1"/>
  </cols>
  <sheetData>
    <row r="1" spans="1:4" ht="28.5" x14ac:dyDescent="0.45">
      <c r="A1" s="57" t="s">
        <v>70</v>
      </c>
    </row>
    <row r="2" spans="1:4" ht="33.6" customHeight="1" x14ac:dyDescent="0.5">
      <c r="A2" s="73" t="s">
        <v>251</v>
      </c>
      <c r="B2" s="73"/>
    </row>
    <row r="4" spans="1:4" x14ac:dyDescent="0.25">
      <c r="A4" s="56" t="s">
        <v>78</v>
      </c>
      <c r="B4" t="s">
        <v>252</v>
      </c>
    </row>
    <row r="5" spans="1:4" x14ac:dyDescent="0.25">
      <c r="B5" t="s">
        <v>253</v>
      </c>
    </row>
    <row r="6" spans="1:4" x14ac:dyDescent="0.25">
      <c r="B6" t="s">
        <v>254</v>
      </c>
    </row>
    <row r="7" spans="1:4" x14ac:dyDescent="0.25">
      <c r="B7" t="s">
        <v>83</v>
      </c>
    </row>
    <row r="9" spans="1:4" x14ac:dyDescent="0.25">
      <c r="B9" t="s">
        <v>255</v>
      </c>
      <c r="D9" s="76">
        <v>50000</v>
      </c>
    </row>
    <row r="10" spans="1:4" x14ac:dyDescent="0.25">
      <c r="B10" t="s">
        <v>256</v>
      </c>
      <c r="D10" s="51">
        <v>10357.4</v>
      </c>
    </row>
    <row r="11" spans="1:4" x14ac:dyDescent="0.25">
      <c r="B11" t="s">
        <v>257</v>
      </c>
      <c r="C11" s="25"/>
      <c r="D11" s="51">
        <v>25000</v>
      </c>
    </row>
    <row r="12" spans="1:4" x14ac:dyDescent="0.25">
      <c r="B12" t="s">
        <v>258</v>
      </c>
      <c r="C12" s="25"/>
      <c r="D12" s="51">
        <v>8000</v>
      </c>
    </row>
    <row r="13" spans="1:4" x14ac:dyDescent="0.25">
      <c r="B13" t="s">
        <v>259</v>
      </c>
      <c r="C13" s="25"/>
      <c r="D13" s="51">
        <v>10943.43</v>
      </c>
    </row>
    <row r="14" spans="1:4" x14ac:dyDescent="0.25">
      <c r="B14" t="s">
        <v>229</v>
      </c>
      <c r="C14" s="25"/>
      <c r="D14" s="51">
        <v>7950</v>
      </c>
    </row>
    <row r="15" spans="1:4" x14ac:dyDescent="0.25">
      <c r="B15" t="s">
        <v>248</v>
      </c>
      <c r="C15" s="25"/>
      <c r="D15" s="51">
        <v>1000</v>
      </c>
    </row>
    <row r="16" spans="1:4" x14ac:dyDescent="0.25">
      <c r="B16" t="s">
        <v>260</v>
      </c>
      <c r="C16" s="25"/>
      <c r="D16" s="51">
        <v>4925</v>
      </c>
    </row>
    <row r="17" spans="1:5" x14ac:dyDescent="0.25">
      <c r="B17" t="s">
        <v>261</v>
      </c>
      <c r="C17" s="25"/>
      <c r="D17" s="51">
        <v>2100</v>
      </c>
    </row>
    <row r="18" spans="1:5" ht="22.15" customHeight="1" thickBot="1" x14ac:dyDescent="0.3">
      <c r="B18" s="74" t="s">
        <v>79</v>
      </c>
      <c r="C18" s="74"/>
      <c r="D18" s="75">
        <f>SUM(D9:D17)</f>
        <v>120275.82999999999</v>
      </c>
    </row>
    <row r="21" spans="1:5" x14ac:dyDescent="0.25">
      <c r="B21" t="s">
        <v>262</v>
      </c>
      <c r="D21" s="76">
        <f>Bokføring!P6</f>
        <v>20440.510000000002</v>
      </c>
    </row>
    <row r="22" spans="1:5" x14ac:dyDescent="0.25">
      <c r="B22" t="s">
        <v>24</v>
      </c>
      <c r="D22" s="76">
        <f>Bokføring!M6</f>
        <v>55106</v>
      </c>
    </row>
    <row r="23" spans="1:5" x14ac:dyDescent="0.25">
      <c r="B23" t="s">
        <v>264</v>
      </c>
      <c r="D23" s="76">
        <f>D24-D18-D21-D22</f>
        <v>48928.870000000024</v>
      </c>
    </row>
    <row r="24" spans="1:5" ht="16.5" thickBot="1" x14ac:dyDescent="0.3">
      <c r="B24" s="77" t="s">
        <v>263</v>
      </c>
      <c r="C24" s="77"/>
      <c r="D24" s="78">
        <f>Driftsregnskap!C10</f>
        <v>244751.21000000002</v>
      </c>
    </row>
    <row r="25" spans="1:5" ht="16.5" thickTop="1" x14ac:dyDescent="0.25"/>
    <row r="28" spans="1:5" x14ac:dyDescent="0.25">
      <c r="A28" s="56" t="s">
        <v>80</v>
      </c>
      <c r="B28" t="s">
        <v>273</v>
      </c>
    </row>
    <row r="29" spans="1:5" x14ac:dyDescent="0.25">
      <c r="B29" t="s">
        <v>274</v>
      </c>
      <c r="C29" s="25"/>
      <c r="E29" s="51"/>
    </row>
    <row r="30" spans="1:5" ht="16.5" thickBot="1" x14ac:dyDescent="0.3">
      <c r="B30" t="s">
        <v>275</v>
      </c>
      <c r="D30" s="64">
        <f>Driftsregnskap!C15</f>
        <v>25000</v>
      </c>
    </row>
    <row r="31" spans="1:5" ht="16.5" thickTop="1" x14ac:dyDescent="0.25"/>
    <row r="32" spans="1:5" x14ac:dyDescent="0.25">
      <c r="A32" s="56" t="s">
        <v>81</v>
      </c>
      <c r="B32" t="s">
        <v>266</v>
      </c>
    </row>
    <row r="33" spans="1:4" x14ac:dyDescent="0.25">
      <c r="B33" t="s">
        <v>267</v>
      </c>
    </row>
    <row r="34" spans="1:4" ht="16.5" thickBot="1" x14ac:dyDescent="0.3">
      <c r="B34" t="s">
        <v>268</v>
      </c>
      <c r="D34" s="79">
        <f>Driftsregnskap!C16+Driftsregnskap!C17+Driftsregnskap!C18+Driftsregnskap!C28+Driftsregnskap!C30</f>
        <v>176502.12000000002</v>
      </c>
    </row>
    <row r="35" spans="1:4" ht="16.5" thickTop="1" x14ac:dyDescent="0.25"/>
    <row r="36" spans="1:4" x14ac:dyDescent="0.25">
      <c r="A36" s="56" t="s">
        <v>82</v>
      </c>
      <c r="B36" t="s">
        <v>84</v>
      </c>
    </row>
    <row r="37" spans="1:4" ht="16.5" thickBot="1" x14ac:dyDescent="0.3">
      <c r="B37" t="s">
        <v>265</v>
      </c>
      <c r="D37" s="79">
        <f>Balansen!C10</f>
        <v>339337.51</v>
      </c>
    </row>
    <row r="38" spans="1:4" ht="16.5" thickTop="1" x14ac:dyDescent="0.25"/>
    <row r="41" spans="1:4" x14ac:dyDescent="0.25">
      <c r="A41" s="56"/>
    </row>
    <row r="42" spans="1:4" x14ac:dyDescent="0.25">
      <c r="D42" s="16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14B3-17BA-4F40-BBB6-83DAB03C97CB}">
  <dimension ref="A1:T70"/>
  <sheetViews>
    <sheetView topLeftCell="A32" workbookViewId="0">
      <selection activeCell="D61" sqref="D61"/>
    </sheetView>
  </sheetViews>
  <sheetFormatPr baseColWidth="10" defaultColWidth="10" defaultRowHeight="15.75" x14ac:dyDescent="0.25"/>
  <cols>
    <col min="1" max="1" width="4.125" customWidth="1"/>
    <col min="2" max="2" width="42" customWidth="1"/>
    <col min="3" max="3" width="13.375" style="140" customWidth="1"/>
    <col min="4" max="4" width="19.25" customWidth="1"/>
  </cols>
  <sheetData>
    <row r="1" spans="1:20" s="25" customFormat="1" ht="17.25" customHeight="1" x14ac:dyDescent="0.25">
      <c r="A1" s="80"/>
      <c r="B1" s="81" t="s">
        <v>276</v>
      </c>
      <c r="C1" s="82"/>
      <c r="D1" s="83"/>
    </row>
    <row r="2" spans="1:20" s="25" customFormat="1" ht="14.25" hidden="1" customHeight="1" x14ac:dyDescent="0.25">
      <c r="A2" s="84"/>
      <c r="B2" s="85"/>
      <c r="C2" s="86"/>
      <c r="D2" s="87"/>
    </row>
    <row r="3" spans="1:20" s="25" customFormat="1" ht="2.25" customHeight="1" x14ac:dyDescent="0.25">
      <c r="A3" s="84"/>
      <c r="B3" s="85"/>
      <c r="C3" s="86"/>
      <c r="D3" s="87"/>
    </row>
    <row r="4" spans="1:20" x14ac:dyDescent="0.25">
      <c r="A4" s="84"/>
      <c r="B4" s="88" t="s">
        <v>85</v>
      </c>
      <c r="C4" s="208" t="s">
        <v>86</v>
      </c>
      <c r="D4" s="209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</row>
    <row r="5" spans="1:20" ht="21" customHeight="1" x14ac:dyDescent="0.25">
      <c r="A5" s="84"/>
      <c r="B5" s="89" t="s">
        <v>87</v>
      </c>
      <c r="C5" s="210">
        <v>937894538</v>
      </c>
      <c r="D5" s="21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20" ht="21.75" hidden="1" customHeight="1" x14ac:dyDescent="0.25">
      <c r="A6" s="84"/>
      <c r="B6" s="91"/>
      <c r="C6" s="92"/>
      <c r="D6" s="93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20" ht="21.75" hidden="1" customHeight="1" x14ac:dyDescent="0.25">
      <c r="A7" s="84"/>
      <c r="B7" s="91"/>
      <c r="C7" s="92"/>
      <c r="D7" s="93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20" ht="17.25" customHeight="1" x14ac:dyDescent="0.25">
      <c r="A8" s="84"/>
      <c r="B8" s="91"/>
      <c r="C8" s="94"/>
      <c r="D8" s="95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x14ac:dyDescent="0.25">
      <c r="A9" s="84"/>
      <c r="B9" s="96" t="s">
        <v>88</v>
      </c>
      <c r="C9" s="97">
        <v>2021</v>
      </c>
      <c r="D9" s="95">
        <v>2020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x14ac:dyDescent="0.25">
      <c r="A10" s="84"/>
      <c r="B10" s="91"/>
      <c r="C10" s="98"/>
      <c r="D10" s="9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x14ac:dyDescent="0.25">
      <c r="A11" s="84">
        <v>1</v>
      </c>
      <c r="B11" s="100" t="s">
        <v>89</v>
      </c>
      <c r="C11" s="101"/>
      <c r="D11" s="99"/>
      <c r="E11" s="90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x14ac:dyDescent="0.25">
      <c r="A12" s="84"/>
      <c r="B12" s="96"/>
      <c r="C12" s="101"/>
      <c r="D12" s="9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x14ac:dyDescent="0.25">
      <c r="A13" s="84" t="s">
        <v>90</v>
      </c>
      <c r="B13" s="91" t="s">
        <v>91</v>
      </c>
      <c r="C13" s="102">
        <f>Driftsregnskap!C8</f>
        <v>55106</v>
      </c>
      <c r="D13" s="103">
        <f>Driftsregnskap!D8</f>
        <v>0</v>
      </c>
      <c r="E13" s="90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</row>
    <row r="14" spans="1:20" x14ac:dyDescent="0.25">
      <c r="A14" s="84"/>
      <c r="B14" s="91"/>
      <c r="C14" s="104"/>
      <c r="D14" s="105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12.75" customHeight="1" x14ac:dyDescent="0.25">
      <c r="A15" s="84" t="s">
        <v>92</v>
      </c>
      <c r="B15" s="106" t="s">
        <v>93</v>
      </c>
      <c r="C15" s="104"/>
      <c r="D15" s="105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ht="15.75" customHeight="1" x14ac:dyDescent="0.25">
      <c r="A16" s="84" t="s">
        <v>94</v>
      </c>
      <c r="B16" s="91" t="s">
        <v>95</v>
      </c>
      <c r="C16" s="102">
        <v>0</v>
      </c>
      <c r="D16" s="107">
        <v>0</v>
      </c>
      <c r="E16" s="90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5">
      <c r="A17" s="84" t="s">
        <v>96</v>
      </c>
      <c r="B17" s="91" t="s">
        <v>97</v>
      </c>
      <c r="C17" s="102"/>
      <c r="D17" s="107"/>
      <c r="E17" s="90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x14ac:dyDescent="0.25">
      <c r="A18" s="84"/>
      <c r="B18" s="96" t="s">
        <v>98</v>
      </c>
      <c r="C18" s="108">
        <f>SUM(C16:C17)</f>
        <v>0</v>
      </c>
      <c r="D18" s="109">
        <f>SUM(D16:D17)</f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x14ac:dyDescent="0.25">
      <c r="A19" s="84"/>
      <c r="B19" s="91"/>
      <c r="C19" s="104"/>
      <c r="D19" s="11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x14ac:dyDescent="0.25">
      <c r="A20" s="84" t="s">
        <v>99</v>
      </c>
      <c r="B20" s="91" t="s">
        <v>100</v>
      </c>
      <c r="C20" s="111">
        <f>Driftsregnskap!C7+Driftsregnskap!C9</f>
        <v>189645.21000000002</v>
      </c>
      <c r="D20" s="112">
        <f>Driftsregnskap!D10</f>
        <v>416939.98</v>
      </c>
      <c r="E20" s="90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x14ac:dyDescent="0.25">
      <c r="A21" s="84"/>
      <c r="B21" s="91"/>
      <c r="C21" s="101"/>
      <c r="D21" s="113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x14ac:dyDescent="0.25">
      <c r="A22" s="84" t="s">
        <v>101</v>
      </c>
      <c r="B22" s="106" t="s">
        <v>102</v>
      </c>
      <c r="C22" s="101"/>
      <c r="D22" s="113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ht="15" customHeight="1" x14ac:dyDescent="0.25">
      <c r="A23" s="84" t="s">
        <v>103</v>
      </c>
      <c r="B23" s="91" t="s">
        <v>104</v>
      </c>
      <c r="C23" s="111">
        <v>0</v>
      </c>
      <c r="D23" s="112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1:20" x14ac:dyDescent="0.25">
      <c r="A24" s="84" t="s">
        <v>105</v>
      </c>
      <c r="B24" s="91" t="s">
        <v>106</v>
      </c>
      <c r="C24" s="111">
        <v>0</v>
      </c>
      <c r="D24" s="112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1:20" x14ac:dyDescent="0.25">
      <c r="A25" s="84"/>
      <c r="B25" s="96" t="s">
        <v>107</v>
      </c>
      <c r="C25" s="114">
        <f>SUM(C23:C24)</f>
        <v>0</v>
      </c>
      <c r="D25" s="115">
        <f>SUM(D23:D24)</f>
        <v>0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x14ac:dyDescent="0.25">
      <c r="A26" s="84"/>
      <c r="B26" s="91"/>
      <c r="C26" s="101"/>
      <c r="D26" s="113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1:20" x14ac:dyDescent="0.25">
      <c r="A27" s="84" t="s">
        <v>108</v>
      </c>
      <c r="B27" s="91" t="s">
        <v>109</v>
      </c>
      <c r="C27" s="111">
        <f>Driftsregnskap!C36</f>
        <v>168.78</v>
      </c>
      <c r="D27" s="112">
        <f>Driftsregnskap!D36</f>
        <v>76.3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1:20" x14ac:dyDescent="0.25">
      <c r="A28" s="84"/>
      <c r="B28" s="91"/>
      <c r="C28" s="101"/>
      <c r="D28" s="113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1:20" x14ac:dyDescent="0.25">
      <c r="A29" s="84" t="s">
        <v>110</v>
      </c>
      <c r="B29" s="91" t="s">
        <v>111</v>
      </c>
      <c r="C29" s="111">
        <v>0</v>
      </c>
      <c r="D29" s="112">
        <v>0</v>
      </c>
      <c r="E29" s="90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</row>
    <row r="30" spans="1:20" x14ac:dyDescent="0.25">
      <c r="A30" s="84"/>
      <c r="B30" s="91"/>
      <c r="C30" s="101"/>
      <c r="D30" s="113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ht="16.5" thickBot="1" x14ac:dyDescent="0.3">
      <c r="A31" s="84"/>
      <c r="B31" s="96" t="s">
        <v>112</v>
      </c>
      <c r="C31" s="116">
        <f>SUM(C29,C27,C25,C20,C18,C13)</f>
        <v>244919.99000000002</v>
      </c>
      <c r="D31" s="117">
        <f>SUM(D29,D27,D25,D20,D18,D13)</f>
        <v>417016.27999999997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6.5" thickTop="1" x14ac:dyDescent="0.25">
      <c r="A32" s="84"/>
      <c r="B32" s="91"/>
      <c r="C32" s="101"/>
      <c r="D32" s="113"/>
      <c r="E32" s="90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</row>
    <row r="33" spans="1:20" x14ac:dyDescent="0.25">
      <c r="A33" s="84"/>
      <c r="B33" s="96"/>
      <c r="C33" s="101"/>
      <c r="D33" s="113"/>
      <c r="E33" s="90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x14ac:dyDescent="0.25">
      <c r="A34" s="84">
        <v>2</v>
      </c>
      <c r="B34" s="100" t="s">
        <v>113</v>
      </c>
      <c r="C34" s="104"/>
      <c r="D34" s="110"/>
      <c r="E34" s="90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</row>
    <row r="35" spans="1:20" x14ac:dyDescent="0.25">
      <c r="A35" s="84"/>
      <c r="B35" s="96"/>
      <c r="C35" s="118"/>
      <c r="D35" s="113"/>
      <c r="E35" s="90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</row>
    <row r="36" spans="1:20" x14ac:dyDescent="0.25">
      <c r="A36" s="84" t="s">
        <v>114</v>
      </c>
      <c r="B36" s="106" t="s">
        <v>115</v>
      </c>
      <c r="C36" s="118"/>
      <c r="D36" s="110"/>
      <c r="E36" s="90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</row>
    <row r="37" spans="1:20" x14ac:dyDescent="0.25">
      <c r="A37" s="119" t="s">
        <v>116</v>
      </c>
      <c r="B37" s="91" t="s">
        <v>117</v>
      </c>
      <c r="C37" s="111">
        <f>Driftsregnskap!C22+Driftsregnskap!C23+Driftsregnskap!C24+Driftsregnskap!C25+Driftsregnskap!C26+Driftsregnskap!C27+Driftsregnskap!C29</f>
        <v>57853</v>
      </c>
      <c r="D37" s="112">
        <f>Driftsregnskap!D22+Driftsregnskap!D23+Driftsregnskap!D24+Driftsregnskap!D25+Driftsregnskap!D26+Driftsregnskap!D27+Driftsregnskap!D29</f>
        <v>76500.89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1:20" x14ac:dyDescent="0.25">
      <c r="A38" s="119" t="s">
        <v>118</v>
      </c>
      <c r="B38" s="91" t="s">
        <v>119</v>
      </c>
      <c r="C38" s="111"/>
      <c r="D38" s="112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1:20" x14ac:dyDescent="0.25">
      <c r="A39" s="84"/>
      <c r="B39" s="96" t="s">
        <v>120</v>
      </c>
      <c r="C39" s="114">
        <f>SUM(C37:C38)</f>
        <v>57853</v>
      </c>
      <c r="D39" s="115">
        <f>+D37+D38</f>
        <v>76500.89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1:20" x14ac:dyDescent="0.25">
      <c r="A40" s="84"/>
      <c r="B40" s="91"/>
      <c r="C40" s="104"/>
      <c r="D40" s="110"/>
      <c r="E40" s="90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0" x14ac:dyDescent="0.25">
      <c r="A41" s="84" t="s">
        <v>121</v>
      </c>
      <c r="B41" s="106" t="s">
        <v>122</v>
      </c>
      <c r="C41" s="104"/>
      <c r="D41" s="110"/>
      <c r="E41" s="90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1:20" ht="13.5" customHeight="1" x14ac:dyDescent="0.25">
      <c r="A42" s="84" t="s">
        <v>123</v>
      </c>
      <c r="B42" s="91" t="s">
        <v>124</v>
      </c>
      <c r="C42" s="102">
        <f>Driftsregnskap!C15+Driftsregnskap!C16+Driftsregnskap!C17+Driftsregnskap!C18+Driftsregnskap!C21+Driftsregnskap!C28+Driftsregnskap!C30</f>
        <v>201947.12000000002</v>
      </c>
      <c r="D42" s="107">
        <f>Driftsregnskap!D15+Driftsregnskap!D17+Driftsregnskap!D18+Driftsregnskap!D19+Driftsregnskap!D20+Driftsregnskap!D28+Driftsregnskap!D30+Driftsregnskap!D14</f>
        <v>38968.479999999996</v>
      </c>
      <c r="E42" s="90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</row>
    <row r="43" spans="1:20" x14ac:dyDescent="0.25">
      <c r="A43" s="84" t="s">
        <v>125</v>
      </c>
      <c r="B43" s="91" t="s">
        <v>126</v>
      </c>
      <c r="C43" s="102"/>
      <c r="D43" s="107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1:20" x14ac:dyDescent="0.25">
      <c r="A44" s="84"/>
      <c r="B44" s="96" t="s">
        <v>127</v>
      </c>
      <c r="C44" s="108">
        <f>SUM(C42:C43)</f>
        <v>201947.12000000002</v>
      </c>
      <c r="D44" s="109">
        <f>SUM(D42:D43)</f>
        <v>38968.479999999996</v>
      </c>
      <c r="E44" s="120"/>
      <c r="F44" s="212"/>
      <c r="G44" s="212"/>
      <c r="H44" s="90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x14ac:dyDescent="0.25">
      <c r="A45" s="84"/>
      <c r="B45" s="96"/>
      <c r="C45" s="101"/>
      <c r="D45" s="113"/>
      <c r="E45" s="90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</row>
    <row r="46" spans="1:20" x14ac:dyDescent="0.25">
      <c r="A46" s="84"/>
      <c r="B46" s="91" t="s">
        <v>128</v>
      </c>
      <c r="C46" s="111"/>
      <c r="D46" s="112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1:20" x14ac:dyDescent="0.25">
      <c r="A47" s="84"/>
      <c r="B47" s="91" t="s">
        <v>129</v>
      </c>
      <c r="C47" s="111">
        <v>0</v>
      </c>
      <c r="D47" s="112">
        <v>0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  <row r="48" spans="1:20" x14ac:dyDescent="0.25">
      <c r="A48" s="84"/>
      <c r="B48" s="91"/>
      <c r="C48" s="104"/>
      <c r="D48" s="110"/>
      <c r="E48" s="90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</row>
    <row r="49" spans="1:20" ht="16.5" thickBot="1" x14ac:dyDescent="0.3">
      <c r="A49" s="84"/>
      <c r="B49" s="96" t="s">
        <v>130</v>
      </c>
      <c r="C49" s="116">
        <f>SUM(C46,C44,C39)+C47</f>
        <v>259800.12000000002</v>
      </c>
      <c r="D49" s="116">
        <f>SUM(D46,D44,D39)+D47</f>
        <v>115469.37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1:20" s="120" customFormat="1" ht="13.5" thickTop="1" x14ac:dyDescent="0.2">
      <c r="A50" s="121"/>
      <c r="B50" s="91"/>
      <c r="C50" s="104"/>
      <c r="D50" s="110"/>
    </row>
    <row r="51" spans="1:20" ht="16.5" thickBot="1" x14ac:dyDescent="0.3">
      <c r="A51" s="84">
        <v>3</v>
      </c>
      <c r="B51" s="96" t="s">
        <v>131</v>
      </c>
      <c r="C51" s="116">
        <f>+C31-C49</f>
        <v>-14880.130000000005</v>
      </c>
      <c r="D51" s="117">
        <f>+D31-D49</f>
        <v>301546.90999999997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1:20" ht="16.5" thickTop="1" x14ac:dyDescent="0.25">
      <c r="A52" s="84"/>
      <c r="B52" s="91"/>
      <c r="C52" s="101"/>
      <c r="D52" s="113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20" x14ac:dyDescent="0.25">
      <c r="A53" s="84">
        <v>4</v>
      </c>
      <c r="B53" s="96" t="s">
        <v>132</v>
      </c>
      <c r="C53" s="101"/>
      <c r="D53" s="113"/>
      <c r="E53" s="90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</row>
    <row r="54" spans="1:20" x14ac:dyDescent="0.25">
      <c r="A54" s="84" t="s">
        <v>133</v>
      </c>
      <c r="B54" s="91" t="s">
        <v>134</v>
      </c>
      <c r="C54" s="102"/>
      <c r="D54" s="107"/>
      <c r="E54" s="90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</row>
    <row r="55" spans="1:20" x14ac:dyDescent="0.25">
      <c r="A55" s="84" t="s">
        <v>135</v>
      </c>
      <c r="B55" s="91" t="s">
        <v>136</v>
      </c>
      <c r="C55" s="111"/>
      <c r="D55" s="112"/>
      <c r="E55" s="90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</row>
    <row r="56" spans="1:20" x14ac:dyDescent="0.25">
      <c r="A56" s="84" t="s">
        <v>137</v>
      </c>
      <c r="B56" s="91" t="s">
        <v>138</v>
      </c>
      <c r="C56" s="102"/>
      <c r="D56" s="107"/>
      <c r="E56" s="90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</row>
    <row r="57" spans="1:20" x14ac:dyDescent="0.25">
      <c r="A57" s="84" t="s">
        <v>139</v>
      </c>
      <c r="B57" s="91" t="s">
        <v>140</v>
      </c>
      <c r="C57" s="102"/>
      <c r="D57" s="112"/>
      <c r="E57" s="90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</row>
    <row r="58" spans="1:20" x14ac:dyDescent="0.25">
      <c r="A58" s="84" t="s">
        <v>141</v>
      </c>
      <c r="B58" s="91" t="s">
        <v>142</v>
      </c>
      <c r="C58" s="102"/>
      <c r="D58" s="107"/>
      <c r="E58" s="90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</row>
    <row r="59" spans="1:20" ht="16.5" thickBot="1" x14ac:dyDescent="0.3">
      <c r="A59" s="122"/>
      <c r="B59" s="96" t="s">
        <v>143</v>
      </c>
      <c r="C59" s="116">
        <f>SUM(C54:C58)</f>
        <v>0</v>
      </c>
      <c r="D59" s="117">
        <f>SUM(D54:D58)</f>
        <v>0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</row>
    <row r="60" spans="1:20" ht="17.25" thickTop="1" thickBot="1" x14ac:dyDescent="0.3">
      <c r="A60" s="123"/>
      <c r="B60" s="124"/>
      <c r="C60" s="125" t="str">
        <f>+IF(C59=C51,"","Avvik resultat/EK bevegelse")</f>
        <v>Avvik resultat/EK bevegelse</v>
      </c>
      <c r="D60" s="126" t="str">
        <f>+IF(D59=D51,"","Av. resultat/EK bevegelse")</f>
        <v>Av. resultat/EK bevegelse</v>
      </c>
      <c r="E60" s="90"/>
      <c r="F60" s="90"/>
      <c r="G60" s="90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</row>
    <row r="61" spans="1:20" x14ac:dyDescent="0.25">
      <c r="A61" s="122" t="s">
        <v>144</v>
      </c>
      <c r="B61" s="127"/>
      <c r="C61" s="215">
        <f>(C20-C37)/C20</f>
        <v>0.69494088461290426</v>
      </c>
      <c r="D61" s="215">
        <f>(D20-D37)/D20</f>
        <v>0.81651821924105239</v>
      </c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</row>
    <row r="62" spans="1:20" x14ac:dyDescent="0.25">
      <c r="A62" s="128" t="s">
        <v>145</v>
      </c>
      <c r="B62" s="127"/>
      <c r="C62" s="118">
        <f>(C44/C49)*100</f>
        <v>77.731726990734259</v>
      </c>
      <c r="D62" s="118">
        <f>(D44/D49)*100</f>
        <v>33.747893488983266</v>
      </c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</row>
    <row r="63" spans="1:20" ht="16.5" thickBot="1" x14ac:dyDescent="0.3">
      <c r="A63" s="129" t="s">
        <v>146</v>
      </c>
      <c r="B63" s="130"/>
      <c r="C63" s="131">
        <f>SUM(C46/C49)*100</f>
        <v>0</v>
      </c>
      <c r="D63" s="131">
        <f>SUM(D46/D49)*100</f>
        <v>0</v>
      </c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20" x14ac:dyDescent="0.25">
      <c r="B64" s="90"/>
      <c r="C64" s="132"/>
      <c r="D64" s="133"/>
      <c r="E64" s="90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</row>
    <row r="65" spans="2:20" x14ac:dyDescent="0.25">
      <c r="B65" s="90"/>
      <c r="C65" s="134"/>
      <c r="D65" s="90"/>
      <c r="E65" s="90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</row>
    <row r="66" spans="2:20" x14ac:dyDescent="0.25">
      <c r="B66" s="90"/>
      <c r="C66" s="135"/>
      <c r="D66" s="90"/>
      <c r="E66" s="90"/>
      <c r="F66" s="136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</row>
    <row r="67" spans="2:20" x14ac:dyDescent="0.25">
      <c r="B67" s="90"/>
      <c r="C67" s="135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</row>
    <row r="68" spans="2:20" x14ac:dyDescent="0.25">
      <c r="B68" s="90"/>
      <c r="C68" s="135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</row>
    <row r="69" spans="2:20" x14ac:dyDescent="0.25">
      <c r="B69" s="137"/>
      <c r="C69" s="138"/>
      <c r="D69" s="137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2:20" x14ac:dyDescent="0.25">
      <c r="B70" s="139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</row>
  </sheetData>
  <mergeCells count="36">
    <mergeCell ref="G66:T66"/>
    <mergeCell ref="F54:T54"/>
    <mergeCell ref="F55:T55"/>
    <mergeCell ref="F56:T56"/>
    <mergeCell ref="F57:T57"/>
    <mergeCell ref="F58:T58"/>
    <mergeCell ref="H60:T60"/>
    <mergeCell ref="F61:T61"/>
    <mergeCell ref="F62:T62"/>
    <mergeCell ref="F63:T63"/>
    <mergeCell ref="F64:T64"/>
    <mergeCell ref="F65:T65"/>
    <mergeCell ref="F53:T53"/>
    <mergeCell ref="F33:T33"/>
    <mergeCell ref="F34:T34"/>
    <mergeCell ref="F35:T35"/>
    <mergeCell ref="F36:T36"/>
    <mergeCell ref="F40:T40"/>
    <mergeCell ref="F41:T41"/>
    <mergeCell ref="F42:T42"/>
    <mergeCell ref="F44:G44"/>
    <mergeCell ref="I44:T44"/>
    <mergeCell ref="F45:T45"/>
    <mergeCell ref="F48:T48"/>
    <mergeCell ref="F32:T32"/>
    <mergeCell ref="C4:D4"/>
    <mergeCell ref="E4:R4"/>
    <mergeCell ref="C5:D5"/>
    <mergeCell ref="E8:T8"/>
    <mergeCell ref="E9:T9"/>
    <mergeCell ref="F11:T11"/>
    <mergeCell ref="F13:T13"/>
    <mergeCell ref="F16:T16"/>
    <mergeCell ref="F17:T17"/>
    <mergeCell ref="F20:T20"/>
    <mergeCell ref="F29:T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0E70-C960-407C-B72A-2F1A3BA5C6A2}">
  <dimension ref="A1:D49"/>
  <sheetViews>
    <sheetView tabSelected="1" topLeftCell="A19" workbookViewId="0">
      <selection activeCell="C9" sqref="C9"/>
    </sheetView>
  </sheetViews>
  <sheetFormatPr baseColWidth="10" defaultColWidth="10" defaultRowHeight="15.75" x14ac:dyDescent="0.25"/>
  <cols>
    <col min="1" max="1" width="6.875" customWidth="1"/>
    <col min="2" max="2" width="37.875" customWidth="1"/>
    <col min="3" max="3" width="15.125" style="157" customWidth="1"/>
    <col min="4" max="4" width="15" style="157" customWidth="1"/>
  </cols>
  <sheetData>
    <row r="1" spans="1:4" ht="15.6" customHeight="1" x14ac:dyDescent="0.25">
      <c r="A1" s="141"/>
      <c r="B1" s="142" t="s">
        <v>147</v>
      </c>
      <c r="C1" s="143"/>
      <c r="D1" s="144"/>
    </row>
    <row r="2" spans="1:4" ht="15.6" customHeight="1" x14ac:dyDescent="0.25">
      <c r="A2" s="145"/>
      <c r="B2" s="91"/>
      <c r="C2" s="101"/>
      <c r="D2" s="113"/>
    </row>
    <row r="3" spans="1:4" ht="15.6" customHeight="1" x14ac:dyDescent="0.25">
      <c r="A3" s="122"/>
      <c r="B3" s="213" t="s">
        <v>16</v>
      </c>
      <c r="C3" s="213"/>
      <c r="D3" s="214"/>
    </row>
    <row r="4" spans="1:4" ht="15.6" customHeight="1" x14ac:dyDescent="0.25">
      <c r="A4" s="122"/>
      <c r="B4" s="88" t="s">
        <v>85</v>
      </c>
      <c r="C4" s="208" t="s">
        <v>148</v>
      </c>
      <c r="D4" s="209"/>
    </row>
    <row r="5" spans="1:4" ht="18.75" customHeight="1" x14ac:dyDescent="0.25">
      <c r="A5" s="122"/>
      <c r="B5" s="89" t="s">
        <v>87</v>
      </c>
      <c r="C5" s="210">
        <v>937894538</v>
      </c>
      <c r="D5" s="211"/>
    </row>
    <row r="6" spans="1:4" ht="15.6" customHeight="1" x14ac:dyDescent="0.25">
      <c r="A6" s="122"/>
      <c r="B6" s="91"/>
      <c r="C6" s="101"/>
      <c r="D6" s="146"/>
    </row>
    <row r="7" spans="1:4" ht="15.6" customHeight="1" x14ac:dyDescent="0.25">
      <c r="A7" s="122"/>
      <c r="B7" s="91" t="s">
        <v>149</v>
      </c>
      <c r="C7" s="101" t="s">
        <v>150</v>
      </c>
      <c r="D7" s="113" t="s">
        <v>151</v>
      </c>
    </row>
    <row r="8" spans="1:4" ht="15.6" customHeight="1" x14ac:dyDescent="0.25">
      <c r="A8" s="122"/>
      <c r="B8" s="91" t="s">
        <v>147</v>
      </c>
      <c r="C8" s="147" t="s">
        <v>278</v>
      </c>
      <c r="D8" s="95">
        <v>2020</v>
      </c>
    </row>
    <row r="9" spans="1:4" ht="15.6" customHeight="1" x14ac:dyDescent="0.25">
      <c r="A9" s="122"/>
      <c r="B9" s="91"/>
      <c r="C9" s="101"/>
      <c r="D9" s="113"/>
    </row>
    <row r="10" spans="1:4" ht="15.6" customHeight="1" x14ac:dyDescent="0.25">
      <c r="A10" s="122"/>
      <c r="B10" s="96" t="s">
        <v>152</v>
      </c>
      <c r="C10" s="101"/>
      <c r="D10" s="113"/>
    </row>
    <row r="11" spans="1:4" ht="15.6" customHeight="1" x14ac:dyDescent="0.25">
      <c r="A11" s="122"/>
      <c r="B11" s="96"/>
      <c r="C11" s="101"/>
      <c r="D11" s="113"/>
    </row>
    <row r="12" spans="1:4" ht="15.6" customHeight="1" x14ac:dyDescent="0.25">
      <c r="A12" s="145" t="s">
        <v>153</v>
      </c>
      <c r="B12" s="96" t="s">
        <v>154</v>
      </c>
      <c r="C12" s="101"/>
      <c r="D12" s="113"/>
    </row>
    <row r="13" spans="1:4" ht="15.6" customHeight="1" x14ac:dyDescent="0.25">
      <c r="A13" s="128" t="s">
        <v>155</v>
      </c>
      <c r="B13" s="91" t="s">
        <v>156</v>
      </c>
      <c r="C13" s="102"/>
      <c r="D13" s="107"/>
    </row>
    <row r="14" spans="1:4" ht="15.6" customHeight="1" x14ac:dyDescent="0.25">
      <c r="A14" s="122" t="s">
        <v>157</v>
      </c>
      <c r="B14" s="91" t="s">
        <v>158</v>
      </c>
      <c r="C14" s="102"/>
      <c r="D14" s="107"/>
    </row>
    <row r="15" spans="1:4" ht="15.6" customHeight="1" x14ac:dyDescent="0.25">
      <c r="A15" s="122" t="s">
        <v>159</v>
      </c>
      <c r="B15" s="91" t="s">
        <v>160</v>
      </c>
      <c r="C15" s="102"/>
      <c r="D15" s="107"/>
    </row>
    <row r="16" spans="1:4" ht="15.6" customHeight="1" x14ac:dyDescent="0.25">
      <c r="A16" s="122" t="s">
        <v>161</v>
      </c>
      <c r="B16" s="91" t="s">
        <v>162</v>
      </c>
      <c r="C16" s="148"/>
      <c r="D16" s="149"/>
    </row>
    <row r="17" spans="1:4" ht="15.6" customHeight="1" x14ac:dyDescent="0.25">
      <c r="A17" s="145" t="s">
        <v>163</v>
      </c>
      <c r="B17" s="96" t="s">
        <v>164</v>
      </c>
      <c r="C17" s="150">
        <f>SUM(C13:C16)</f>
        <v>0</v>
      </c>
      <c r="D17" s="151">
        <f>SUM(D13:D16)</f>
        <v>0</v>
      </c>
    </row>
    <row r="18" spans="1:4" ht="15.6" customHeight="1" x14ac:dyDescent="0.25">
      <c r="A18" s="145" t="s">
        <v>165</v>
      </c>
      <c r="B18" s="96" t="s">
        <v>38</v>
      </c>
      <c r="C18" s="101" t="s">
        <v>147</v>
      </c>
      <c r="D18" s="113"/>
    </row>
    <row r="19" spans="1:4" ht="15.6" customHeight="1" x14ac:dyDescent="0.25">
      <c r="A19" s="122" t="s">
        <v>166</v>
      </c>
      <c r="B19" s="91" t="s">
        <v>167</v>
      </c>
      <c r="C19" s="102"/>
      <c r="D19" s="107"/>
    </row>
    <row r="20" spans="1:4" ht="15.6" customHeight="1" x14ac:dyDescent="0.25">
      <c r="A20" s="122" t="s">
        <v>168</v>
      </c>
      <c r="B20" s="91" t="s">
        <v>169</v>
      </c>
      <c r="C20" s="102"/>
      <c r="D20" s="107"/>
    </row>
    <row r="21" spans="1:4" ht="15.6" customHeight="1" x14ac:dyDescent="0.25">
      <c r="A21" s="122" t="s">
        <v>170</v>
      </c>
      <c r="B21" s="91" t="s">
        <v>171</v>
      </c>
      <c r="C21" s="102"/>
      <c r="D21" s="107"/>
    </row>
    <row r="22" spans="1:4" ht="15.6" customHeight="1" x14ac:dyDescent="0.25">
      <c r="A22" s="122" t="s">
        <v>172</v>
      </c>
      <c r="B22" s="91" t="s">
        <v>173</v>
      </c>
      <c r="C22" s="102">
        <f>Balansen!C9</f>
        <v>339337.51</v>
      </c>
      <c r="D22" s="107">
        <f>Balansen!D9</f>
        <v>328557.40000000002</v>
      </c>
    </row>
    <row r="23" spans="1:4" ht="15.6" customHeight="1" x14ac:dyDescent="0.25">
      <c r="A23" s="145" t="s">
        <v>174</v>
      </c>
      <c r="B23" s="96" t="s">
        <v>40</v>
      </c>
      <c r="C23" s="150">
        <f>SUM(C19:C22)</f>
        <v>339337.51</v>
      </c>
      <c r="D23" s="151">
        <f>SUM(D19:D22)</f>
        <v>328557.40000000002</v>
      </c>
    </row>
    <row r="24" spans="1:4" ht="15.6" customHeight="1" x14ac:dyDescent="0.25">
      <c r="A24" s="122"/>
      <c r="B24" s="91"/>
      <c r="C24" s="101"/>
      <c r="D24" s="113"/>
    </row>
    <row r="25" spans="1:4" ht="15.6" customHeight="1" thickBot="1" x14ac:dyDescent="0.3">
      <c r="A25" s="145" t="s">
        <v>175</v>
      </c>
      <c r="B25" s="96" t="s">
        <v>41</v>
      </c>
      <c r="C25" s="152">
        <f>SUM(C17,C23)</f>
        <v>339337.51</v>
      </c>
      <c r="D25" s="153">
        <f>SUM(D17,D23)</f>
        <v>328557.40000000002</v>
      </c>
    </row>
    <row r="26" spans="1:4" ht="15.6" customHeight="1" thickTop="1" x14ac:dyDescent="0.25">
      <c r="A26" s="122"/>
      <c r="B26" s="91"/>
      <c r="C26" s="101"/>
      <c r="D26" s="113"/>
    </row>
    <row r="27" spans="1:4" ht="15.6" customHeight="1" x14ac:dyDescent="0.25">
      <c r="A27" s="122"/>
      <c r="B27" s="96" t="s">
        <v>176</v>
      </c>
      <c r="C27" s="101"/>
      <c r="D27" s="113"/>
    </row>
    <row r="28" spans="1:4" ht="15.6" customHeight="1" x14ac:dyDescent="0.25">
      <c r="A28" s="122"/>
      <c r="B28" s="96"/>
      <c r="C28" s="101"/>
      <c r="D28" s="113"/>
    </row>
    <row r="29" spans="1:4" ht="15.6" customHeight="1" x14ac:dyDescent="0.25">
      <c r="A29" s="145" t="s">
        <v>177</v>
      </c>
      <c r="B29" s="96" t="s">
        <v>178</v>
      </c>
      <c r="C29" s="101"/>
      <c r="D29" s="113"/>
    </row>
    <row r="30" spans="1:4" ht="15.6" customHeight="1" x14ac:dyDescent="0.25">
      <c r="A30" s="122" t="s">
        <v>179</v>
      </c>
      <c r="B30" s="91" t="s">
        <v>180</v>
      </c>
      <c r="C30" s="102">
        <f>Balansen!C19</f>
        <v>326081.63999999996</v>
      </c>
      <c r="D30" s="107">
        <f>Balansen!D19</f>
        <v>24534.73</v>
      </c>
    </row>
    <row r="31" spans="1:4" ht="15.6" customHeight="1" x14ac:dyDescent="0.25">
      <c r="A31" s="122" t="s">
        <v>181</v>
      </c>
      <c r="B31" s="91" t="s">
        <v>182</v>
      </c>
      <c r="C31" s="102"/>
      <c r="D31" s="107"/>
    </row>
    <row r="32" spans="1:4" ht="15.6" customHeight="1" x14ac:dyDescent="0.25">
      <c r="A32" s="122" t="s">
        <v>183</v>
      </c>
      <c r="B32" s="91" t="s">
        <v>184</v>
      </c>
      <c r="C32" s="102"/>
      <c r="D32" s="107"/>
    </row>
    <row r="33" spans="1:4" ht="15.6" customHeight="1" x14ac:dyDescent="0.25">
      <c r="A33" s="122" t="s">
        <v>185</v>
      </c>
      <c r="B33" s="91" t="s">
        <v>186</v>
      </c>
      <c r="C33" s="102"/>
      <c r="D33" s="107"/>
    </row>
    <row r="34" spans="1:4" ht="15.6" customHeight="1" x14ac:dyDescent="0.25">
      <c r="A34" s="122" t="s">
        <v>187</v>
      </c>
      <c r="B34" s="91" t="s">
        <v>188</v>
      </c>
      <c r="C34" s="102">
        <f>Balansen!C20</f>
        <v>-14880.130000000032</v>
      </c>
      <c r="D34" s="107">
        <f>Balansen!D20</f>
        <v>301546.90999999997</v>
      </c>
    </row>
    <row r="35" spans="1:4" ht="15.6" customHeight="1" x14ac:dyDescent="0.25">
      <c r="A35" s="145" t="s">
        <v>189</v>
      </c>
      <c r="B35" s="96" t="s">
        <v>190</v>
      </c>
      <c r="C35" s="150">
        <f>SUM(C30:C34)</f>
        <v>311201.50999999995</v>
      </c>
      <c r="D35" s="151">
        <f>SUM(D30:D34)</f>
        <v>326081.63999999996</v>
      </c>
    </row>
    <row r="36" spans="1:4" ht="15.6" customHeight="1" x14ac:dyDescent="0.25">
      <c r="A36" s="145" t="s">
        <v>191</v>
      </c>
      <c r="B36" s="96" t="s">
        <v>192</v>
      </c>
      <c r="C36" s="101"/>
      <c r="D36" s="113"/>
    </row>
    <row r="37" spans="1:4" ht="15.6" customHeight="1" x14ac:dyDescent="0.25">
      <c r="A37" s="122" t="s">
        <v>193</v>
      </c>
      <c r="B37" s="91" t="s">
        <v>194</v>
      </c>
      <c r="C37" s="102"/>
      <c r="D37" s="107"/>
    </row>
    <row r="38" spans="1:4" ht="15.6" customHeight="1" x14ac:dyDescent="0.25">
      <c r="A38" s="122" t="s">
        <v>195</v>
      </c>
      <c r="B38" s="91" t="s">
        <v>196</v>
      </c>
      <c r="C38" s="102"/>
      <c r="D38" s="107"/>
    </row>
    <row r="39" spans="1:4" ht="15.6" customHeight="1" x14ac:dyDescent="0.25">
      <c r="A39" s="122" t="s">
        <v>197</v>
      </c>
      <c r="B39" s="91" t="s">
        <v>198</v>
      </c>
      <c r="C39" s="102">
        <f>Balansen!C21+Balansen!C22</f>
        <v>28136</v>
      </c>
      <c r="D39" s="107">
        <f>Balansen!D21+Balansen!D22</f>
        <v>2475.7600000000002</v>
      </c>
    </row>
    <row r="40" spans="1:4" ht="15.6" customHeight="1" x14ac:dyDescent="0.25">
      <c r="A40" s="145" t="s">
        <v>199</v>
      </c>
      <c r="B40" s="96" t="s">
        <v>200</v>
      </c>
      <c r="C40" s="150">
        <f>SUM(C37:C39)</f>
        <v>28136</v>
      </c>
      <c r="D40" s="151">
        <f>SUM(D37:D39)</f>
        <v>2475.7600000000002</v>
      </c>
    </row>
    <row r="41" spans="1:4" ht="15.6" customHeight="1" x14ac:dyDescent="0.25">
      <c r="A41" s="145"/>
      <c r="B41" s="96"/>
      <c r="C41" s="104"/>
      <c r="D41" s="110"/>
    </row>
    <row r="42" spans="1:4" ht="15.6" customHeight="1" thickBot="1" x14ac:dyDescent="0.3">
      <c r="A42" s="145" t="s">
        <v>201</v>
      </c>
      <c r="B42" s="96" t="s">
        <v>202</v>
      </c>
      <c r="C42" s="152">
        <f>SUM(C35,C40)</f>
        <v>339337.50999999995</v>
      </c>
      <c r="D42" s="153">
        <f>SUM(D35,D40)</f>
        <v>328557.39999999997</v>
      </c>
    </row>
    <row r="43" spans="1:4" ht="15.6" customHeight="1" thickTop="1" x14ac:dyDescent="0.25">
      <c r="A43" s="122"/>
      <c r="B43" s="91"/>
      <c r="C43" s="101" t="str">
        <f>+IF(C42=C25,"","Balanseavvik")</f>
        <v/>
      </c>
      <c r="D43" s="113" t="str">
        <f>+IF(D42=D25,"","Balanseavvik")</f>
        <v/>
      </c>
    </row>
    <row r="44" spans="1:4" ht="15.6" customHeight="1" x14ac:dyDescent="0.25">
      <c r="A44" s="122"/>
      <c r="B44" s="96" t="s">
        <v>203</v>
      </c>
      <c r="C44" s="101"/>
      <c r="D44" s="113"/>
    </row>
    <row r="45" spans="1:4" ht="15.6" customHeight="1" x14ac:dyDescent="0.25">
      <c r="A45" s="145" t="s">
        <v>204</v>
      </c>
      <c r="B45" s="96" t="s">
        <v>205</v>
      </c>
      <c r="C45" s="108">
        <f>(C35/C42)*100</f>
        <v>91.708549992012379</v>
      </c>
      <c r="D45" s="108">
        <f>(D35/D42)*100</f>
        <v>99.246475653873574</v>
      </c>
    </row>
    <row r="46" spans="1:4" ht="15.6" customHeight="1" x14ac:dyDescent="0.25">
      <c r="A46" s="145" t="s">
        <v>206</v>
      </c>
      <c r="B46" s="96" t="s">
        <v>207</v>
      </c>
      <c r="C46" s="101"/>
      <c r="D46" s="113"/>
    </row>
    <row r="47" spans="1:4" ht="15.6" customHeight="1" thickBot="1" x14ac:dyDescent="0.3">
      <c r="A47" s="123"/>
      <c r="B47" s="154"/>
      <c r="C47" s="155"/>
      <c r="D47" s="156"/>
    </row>
    <row r="48" spans="1:4" ht="15.6" customHeight="1" x14ac:dyDescent="0.25">
      <c r="B48" s="139"/>
    </row>
    <row r="49" spans="2:2" ht="15.6" customHeight="1" x14ac:dyDescent="0.25">
      <c r="B49" s="139"/>
    </row>
  </sheetData>
  <mergeCells count="3">
    <mergeCell ref="B3:D3"/>
    <mergeCell ref="C4:D4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17D6-E4D4-44D1-B667-51FA5A38BAF2}">
  <dimension ref="C2:J30"/>
  <sheetViews>
    <sheetView workbookViewId="0">
      <selection activeCell="E28" sqref="E28"/>
    </sheetView>
  </sheetViews>
  <sheetFormatPr baseColWidth="10" defaultRowHeight="15.75" x14ac:dyDescent="0.25"/>
  <sheetData>
    <row r="2" spans="3:10" x14ac:dyDescent="0.25">
      <c r="E2">
        <v>786</v>
      </c>
    </row>
    <row r="3" spans="3:10" x14ac:dyDescent="0.25">
      <c r="C3">
        <v>196.5</v>
      </c>
      <c r="E3">
        <v>196.5</v>
      </c>
      <c r="G3">
        <v>197</v>
      </c>
      <c r="H3">
        <v>100</v>
      </c>
      <c r="J3">
        <v>321.25</v>
      </c>
    </row>
    <row r="4" spans="3:10" x14ac:dyDescent="0.25">
      <c r="C4">
        <v>786</v>
      </c>
      <c r="E4">
        <v>49.12</v>
      </c>
      <c r="G4">
        <v>4925</v>
      </c>
      <c r="H4">
        <v>500</v>
      </c>
      <c r="J4">
        <v>1096.8800000000001</v>
      </c>
    </row>
    <row r="5" spans="3:10" x14ac:dyDescent="0.25">
      <c r="C5">
        <v>196.5</v>
      </c>
      <c r="E5">
        <v>196.5</v>
      </c>
      <c r="G5">
        <v>2100</v>
      </c>
      <c r="H5">
        <v>1000</v>
      </c>
      <c r="J5">
        <v>1002.5</v>
      </c>
    </row>
    <row r="6" spans="3:10" x14ac:dyDescent="0.25">
      <c r="C6">
        <v>196.5</v>
      </c>
      <c r="E6">
        <v>196.5</v>
      </c>
      <c r="G6">
        <v>350</v>
      </c>
      <c r="J6">
        <v>335</v>
      </c>
    </row>
    <row r="7" spans="3:10" ht="16.5" thickBot="1" x14ac:dyDescent="0.3">
      <c r="C7">
        <v>786</v>
      </c>
      <c r="E7">
        <v>196.5</v>
      </c>
      <c r="H7" s="160">
        <f>SUM(H3:H6)</f>
        <v>1600</v>
      </c>
      <c r="J7">
        <v>758.75</v>
      </c>
    </row>
    <row r="8" spans="3:10" ht="17.25" thickTop="1" thickBot="1" x14ac:dyDescent="0.3">
      <c r="C8">
        <v>196.5</v>
      </c>
      <c r="E8">
        <v>196.5</v>
      </c>
      <c r="G8" s="160">
        <f>SUM(G3:G7)</f>
        <v>7572</v>
      </c>
      <c r="J8">
        <v>605</v>
      </c>
    </row>
    <row r="9" spans="3:10" ht="16.5" thickTop="1" x14ac:dyDescent="0.25">
      <c r="C9">
        <v>196.5</v>
      </c>
      <c r="E9">
        <v>196.5</v>
      </c>
      <c r="J9">
        <v>338.75</v>
      </c>
    </row>
    <row r="10" spans="3:10" x14ac:dyDescent="0.25">
      <c r="C10">
        <v>196.5</v>
      </c>
      <c r="E10">
        <v>196.5</v>
      </c>
      <c r="H10">
        <v>3000</v>
      </c>
      <c r="J10">
        <v>331.25</v>
      </c>
    </row>
    <row r="11" spans="3:10" x14ac:dyDescent="0.25">
      <c r="C11">
        <v>196.5</v>
      </c>
      <c r="E11">
        <v>245.62</v>
      </c>
      <c r="H11">
        <v>7572</v>
      </c>
      <c r="J11">
        <v>338.75</v>
      </c>
    </row>
    <row r="12" spans="3:10" x14ac:dyDescent="0.25">
      <c r="C12">
        <v>196.5</v>
      </c>
      <c r="E12">
        <v>2210.62</v>
      </c>
      <c r="H12">
        <v>1600</v>
      </c>
      <c r="J12">
        <v>335</v>
      </c>
    </row>
    <row r="13" spans="3:10" ht="16.5" thickBot="1" x14ac:dyDescent="0.3">
      <c r="C13" s="160">
        <f>SUM(C3:C12)</f>
        <v>3144</v>
      </c>
      <c r="E13">
        <v>245.62</v>
      </c>
      <c r="J13">
        <v>331.25</v>
      </c>
    </row>
    <row r="14" spans="3:10" ht="17.25" thickTop="1" thickBot="1" x14ac:dyDescent="0.3">
      <c r="E14">
        <v>294.75</v>
      </c>
      <c r="H14" s="160">
        <f>SUM(H10:H13)</f>
        <v>12172</v>
      </c>
      <c r="J14">
        <v>331.25</v>
      </c>
    </row>
    <row r="15" spans="3:10" ht="16.5" thickTop="1" x14ac:dyDescent="0.25">
      <c r="E15">
        <v>294.75</v>
      </c>
    </row>
    <row r="16" spans="3:10" ht="16.5" thickBot="1" x14ac:dyDescent="0.3">
      <c r="E16">
        <v>98.25</v>
      </c>
      <c r="J16" s="160">
        <f>SUM(J3:J15)</f>
        <v>6125.63</v>
      </c>
    </row>
    <row r="17" spans="3:10" ht="16.5" thickTop="1" x14ac:dyDescent="0.25">
      <c r="E17">
        <v>982.5</v>
      </c>
    </row>
    <row r="18" spans="3:10" x14ac:dyDescent="0.25">
      <c r="E18">
        <v>294.75</v>
      </c>
    </row>
    <row r="19" spans="3:10" x14ac:dyDescent="0.25">
      <c r="E19">
        <v>245.62</v>
      </c>
    </row>
    <row r="20" spans="3:10" x14ac:dyDescent="0.25">
      <c r="E20">
        <v>491.25</v>
      </c>
    </row>
    <row r="21" spans="3:10" x14ac:dyDescent="0.25">
      <c r="E21">
        <v>491.25</v>
      </c>
      <c r="H21">
        <v>339337.51</v>
      </c>
    </row>
    <row r="22" spans="3:10" x14ac:dyDescent="0.25">
      <c r="E22">
        <v>147.37</v>
      </c>
      <c r="H22">
        <f>Bokføring!D8</f>
        <v>339337.51</v>
      </c>
    </row>
    <row r="23" spans="3:10" x14ac:dyDescent="0.25">
      <c r="C23">
        <f>C13+E29</f>
        <v>15818.170000000002</v>
      </c>
      <c r="E23">
        <v>245.62</v>
      </c>
    </row>
    <row r="24" spans="3:10" x14ac:dyDescent="0.25">
      <c r="E24">
        <v>3487.84</v>
      </c>
      <c r="H24">
        <f>H21-H22</f>
        <v>0</v>
      </c>
      <c r="I24" t="s">
        <v>246</v>
      </c>
      <c r="J24">
        <v>786</v>
      </c>
    </row>
    <row r="25" spans="3:10" x14ac:dyDescent="0.25">
      <c r="E25">
        <v>147.37</v>
      </c>
      <c r="J25">
        <v>196.5</v>
      </c>
    </row>
    <row r="26" spans="3:10" x14ac:dyDescent="0.25">
      <c r="E26">
        <v>98.25</v>
      </c>
    </row>
    <row r="27" spans="3:10" x14ac:dyDescent="0.25">
      <c r="E27">
        <v>245.62</v>
      </c>
    </row>
    <row r="28" spans="3:10" x14ac:dyDescent="0.25">
      <c r="E28">
        <v>196.5</v>
      </c>
    </row>
    <row r="29" spans="3:10" ht="16.5" thickBot="1" x14ac:dyDescent="0.3">
      <c r="E29" s="160">
        <f>SUM(E2:E28)</f>
        <v>12674.170000000002</v>
      </c>
    </row>
    <row r="30" spans="3:10" ht="16.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Bokføring</vt:lpstr>
      <vt:lpstr>Driftsregnskap</vt:lpstr>
      <vt:lpstr>Balansen</vt:lpstr>
      <vt:lpstr>Noter</vt:lpstr>
      <vt:lpstr>Aktivitetsregnskap Drift</vt:lpstr>
      <vt:lpstr>Aktivitetsregnskap Balanse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Torstein Engen</dc:creator>
  <cp:lastModifiedBy>Trine Synnøve Rønning</cp:lastModifiedBy>
  <cp:lastPrinted>2022-03-24T09:15:29Z</cp:lastPrinted>
  <dcterms:created xsi:type="dcterms:W3CDTF">2019-01-07T09:49:40Z</dcterms:created>
  <dcterms:modified xsi:type="dcterms:W3CDTF">2022-03-24T09:18:27Z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fbf486-f09d-4a86-8810-b4add863c98a_Enabled">
    <vt:lpwstr>true</vt:lpwstr>
  </property>
  <property fmtid="{D5CDD505-2E9C-101B-9397-08002B2CF9AE}" pid="3" name="MSIP_Label_e5fbf486-f09d-4a86-8810-b4add863c98a_SetDate">
    <vt:lpwstr>2021-03-18T19:06:51Z</vt:lpwstr>
  </property>
  <property fmtid="{D5CDD505-2E9C-101B-9397-08002B2CF9AE}" pid="4" name="MSIP_Label_e5fbf486-f09d-4a86-8810-b4add863c98a_Method">
    <vt:lpwstr>Privileged</vt:lpwstr>
  </property>
  <property fmtid="{D5CDD505-2E9C-101B-9397-08002B2CF9AE}" pid="5" name="MSIP_Label_e5fbf486-f09d-4a86-8810-b4add863c98a_Name">
    <vt:lpwstr>Public</vt:lpwstr>
  </property>
  <property fmtid="{D5CDD505-2E9C-101B-9397-08002B2CF9AE}" pid="6" name="MSIP_Label_e5fbf486-f09d-4a86-8810-b4add863c98a_SiteId">
    <vt:lpwstr>38856954-ed55-49f7-8bdd-738ffbbfd390</vt:lpwstr>
  </property>
  <property fmtid="{D5CDD505-2E9C-101B-9397-08002B2CF9AE}" pid="7" name="MSIP_Label_e5fbf486-f09d-4a86-8810-b4add863c98a_ActionId">
    <vt:lpwstr>dd5a5ed6-32c1-472e-8823-6ccb2fb57585</vt:lpwstr>
  </property>
  <property fmtid="{D5CDD505-2E9C-101B-9397-08002B2CF9AE}" pid="8" name="MSIP_Label_e5fbf486-f09d-4a86-8810-b4add863c98a_ContentBits">
    <vt:lpwstr>0</vt:lpwstr>
  </property>
</Properties>
</file>